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omments4.xml" ContentType="application/vnd.openxmlformats-officedocument.spreadsheetml.comments+xml"/>
  <Override PartName="/xl/drawings/drawing1.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showInkAnnotation="0" codeName="ThisWorkbook" defaultThemeVersion="124226"/>
  <mc:AlternateContent xmlns:mc="http://schemas.openxmlformats.org/markup-compatibility/2006">
    <mc:Choice Requires="x15">
      <x15ac:absPath xmlns:x15ac="http://schemas.microsoft.com/office/spreadsheetml/2010/11/ac" url="https://massgov.sharepoint.com/sites/DEP-BAW-Shared/Air/GHG/7.75 Retail Sellers/2021/2021 RSEF/"/>
    </mc:Choice>
  </mc:AlternateContent>
  <xr:revisionPtr revIDLastSave="177" documentId="8_{93F3BD79-DE48-4B9F-B45B-DC2A18FF31B6}" xr6:coauthVersionLast="47" xr6:coauthVersionMax="47" xr10:uidLastSave="{3217A2B4-0B50-4595-8CA7-30FBD5D49C34}"/>
  <bookViews>
    <workbookView xWindow="-110" yWindow="-110" windowWidth="19420" windowHeight="10420" tabRatio="936" xr2:uid="{00000000-000D-0000-FFFF-FFFF00000000}"/>
  </bookViews>
  <sheets>
    <sheet name="Imported Emissions" sheetId="8" r:id="rId1"/>
    <sheet name="State &amp; Province Summary" sheetId="16" r:id="rId2"/>
    <sheet name="Generation Load Imports" sheetId="9" r:id="rId3"/>
    <sheet name="Generation CO2e" sheetId="11" r:id="rId4"/>
    <sheet name="EIA Form 923" sheetId="1" r:id="rId5"/>
    <sheet name="EPA Part 75 &amp; GHGRP" sheetId="7" r:id="rId6"/>
    <sheet name="GIS CO2e" sheetId="6" r:id="rId7"/>
    <sheet name="GIS Heat Input" sheetId="13" r:id="rId8"/>
    <sheet name="GIS" sheetId="10" r:id="rId9"/>
    <sheet name="GWPs &amp; Fuel EFs" sheetId="12" r:id="rId10"/>
  </sheets>
  <externalReferences>
    <externalReference r:id="rId11"/>
  </externalReferences>
  <definedNames>
    <definedName name="_xlnm._FilterDatabase" localSheetId="4" hidden="1">'EIA Form 923'!$A$6:$Z$2428</definedName>
    <definedName name="_xlnm._FilterDatabase" localSheetId="5" hidden="1">'EPA Part 75 &amp; GHGRP'!$A$1:$J$415</definedName>
    <definedName name="IPCC_Report">[1]GWPs!$B$11:$B$13</definedName>
    <definedName name="MSBprcnt">'EIA Form 923'!$E$2441</definedName>
    <definedName name="MSNprcnt">'EIA Form 923'!$E$2440</definedName>
    <definedName name="_xlnm.Print_Titles" localSheetId="4">'EIA Form 923'!$7:$8</definedName>
    <definedName name="_xlnm.Print_Titles" localSheetId="5">'EPA Part 75 &amp; GHGRP'!$1:$1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440" i="7" l="1"/>
  <c r="F440" i="7"/>
  <c r="F441" i="7"/>
  <c r="G438" i="7"/>
  <c r="G436" i="7"/>
  <c r="F439" i="7"/>
  <c r="F438" i="7"/>
  <c r="I44" i="11" s="1"/>
  <c r="F437" i="7"/>
  <c r="O44" i="11" s="1"/>
  <c r="F436" i="7"/>
  <c r="L44" i="11" s="1"/>
  <c r="G439" i="7"/>
  <c r="I14" i="11"/>
  <c r="G437" i="7"/>
  <c r="O14" i="11" s="1"/>
  <c r="L14" i="11"/>
  <c r="G441" i="7" l="1"/>
  <c r="F21" i="13" s="1"/>
  <c r="F33" i="13"/>
  <c r="I26" i="11"/>
  <c r="F30" i="13"/>
  <c r="I56" i="11"/>
  <c r="F18" i="13"/>
  <c r="J17" i="8" l="1"/>
  <c r="J16" i="8"/>
  <c r="J15" i="8"/>
  <c r="F149" i="6" l="1"/>
  <c r="V296" i="10"/>
  <c r="S296" i="10"/>
  <c r="AI188" i="10"/>
  <c r="AI88" i="10"/>
  <c r="L273" i="10"/>
  <c r="L274" i="10"/>
  <c r="L275" i="10"/>
  <c r="L276" i="10"/>
  <c r="L277" i="10"/>
  <c r="L278" i="10"/>
  <c r="L279" i="10"/>
  <c r="L280" i="10"/>
  <c r="L282" i="10"/>
  <c r="L283" i="10"/>
  <c r="L284" i="10"/>
  <c r="L285" i="10"/>
  <c r="L286" i="10"/>
  <c r="L287" i="10"/>
  <c r="L288" i="10"/>
  <c r="L289" i="10"/>
  <c r="L271" i="10"/>
  <c r="J273" i="10"/>
  <c r="J274" i="10"/>
  <c r="J275" i="10"/>
  <c r="J276" i="10"/>
  <c r="J277" i="10"/>
  <c r="J278" i="10"/>
  <c r="J279" i="10"/>
  <c r="J280" i="10"/>
  <c r="J282" i="10"/>
  <c r="J283" i="10"/>
  <c r="J284" i="10"/>
  <c r="J285" i="10"/>
  <c r="J286" i="10"/>
  <c r="J287" i="10"/>
  <c r="J288" i="10"/>
  <c r="J289" i="10"/>
  <c r="J271" i="10"/>
  <c r="H273" i="10"/>
  <c r="H274" i="10"/>
  <c r="H275" i="10"/>
  <c r="H276" i="10"/>
  <c r="H277" i="10"/>
  <c r="H278" i="10"/>
  <c r="H279" i="10"/>
  <c r="H280" i="10"/>
  <c r="H282" i="10"/>
  <c r="H283" i="10"/>
  <c r="H284" i="10"/>
  <c r="H285" i="10"/>
  <c r="H286" i="10"/>
  <c r="H287" i="10"/>
  <c r="H288" i="10"/>
  <c r="H289" i="10"/>
  <c r="H271" i="10"/>
  <c r="F273" i="10"/>
  <c r="F274" i="10"/>
  <c r="F275" i="10"/>
  <c r="F276" i="10"/>
  <c r="F277" i="10"/>
  <c r="F278" i="10"/>
  <c r="F279" i="10"/>
  <c r="F280" i="10"/>
  <c r="F282" i="10"/>
  <c r="F283" i="10"/>
  <c r="F284" i="10"/>
  <c r="F285" i="10"/>
  <c r="F286" i="10"/>
  <c r="F287" i="10"/>
  <c r="F288" i="10"/>
  <c r="F289" i="10"/>
  <c r="F271" i="10"/>
  <c r="D289" i="10"/>
  <c r="D288" i="10"/>
  <c r="D287" i="10"/>
  <c r="D286" i="10"/>
  <c r="D285" i="10"/>
  <c r="D284" i="10"/>
  <c r="D283" i="10"/>
  <c r="D282" i="10"/>
  <c r="D280" i="10"/>
  <c r="D279" i="10"/>
  <c r="D278" i="10"/>
  <c r="D277" i="10"/>
  <c r="D276" i="10"/>
  <c r="D275" i="10"/>
  <c r="D274" i="10"/>
  <c r="D273" i="10"/>
  <c r="D271" i="10"/>
  <c r="B289" i="10"/>
  <c r="B288" i="10"/>
  <c r="B287" i="10"/>
  <c r="B286" i="10"/>
  <c r="B285" i="10"/>
  <c r="B284" i="10"/>
  <c r="B283" i="10"/>
  <c r="B282" i="10"/>
  <c r="B280" i="10"/>
  <c r="B279" i="10"/>
  <c r="B278" i="10"/>
  <c r="B277" i="10"/>
  <c r="B276" i="10"/>
  <c r="B275" i="10"/>
  <c r="B274" i="10"/>
  <c r="B273" i="10"/>
  <c r="B271" i="10"/>
  <c r="AQ297" i="10"/>
  <c r="AH296" i="10"/>
  <c r="AE296" i="10"/>
  <c r="AB296" i="10"/>
  <c r="Y296" i="10"/>
  <c r="AO290" i="10"/>
  <c r="AO291" i="10"/>
  <c r="AO138" i="10"/>
  <c r="AO265" i="10"/>
  <c r="AI239" i="10"/>
  <c r="AI213" i="10"/>
  <c r="AI163" i="10"/>
  <c r="AI113" i="10"/>
  <c r="H179" i="6"/>
  <c r="V298" i="10"/>
  <c r="C19" i="9"/>
  <c r="B19" i="9"/>
  <c r="I313" i="7" l="1"/>
  <c r="I314" i="7"/>
  <c r="I315" i="7"/>
  <c r="CP24" i="8"/>
  <c r="H19" i="9"/>
  <c r="G19" i="9"/>
  <c r="F19" i="9"/>
  <c r="E19" i="9"/>
  <c r="D19" i="9"/>
  <c r="X15" i="8"/>
  <c r="I304" i="7" l="1"/>
  <c r="I263" i="7"/>
  <c r="I261" i="7"/>
  <c r="I254" i="7"/>
  <c r="I237" i="7"/>
  <c r="I234" i="7"/>
  <c r="I213" i="7"/>
  <c r="I214" i="7"/>
  <c r="I215" i="7"/>
  <c r="I216" i="7"/>
  <c r="I217" i="7"/>
  <c r="I218" i="7"/>
  <c r="I219" i="7"/>
  <c r="I220" i="7"/>
  <c r="I209" i="7"/>
  <c r="I210" i="7"/>
  <c r="I198" i="7"/>
  <c r="I199" i="7"/>
  <c r="I200" i="7"/>
  <c r="I201" i="7"/>
  <c r="I179" i="7"/>
  <c r="I180" i="7"/>
  <c r="I181" i="7"/>
  <c r="I182" i="7"/>
  <c r="I183" i="7"/>
  <c r="I184" i="7"/>
  <c r="I185" i="7"/>
  <c r="I186" i="7"/>
  <c r="I187" i="7"/>
  <c r="I188" i="7"/>
  <c r="I189" i="7"/>
  <c r="I190" i="7"/>
  <c r="I191" i="7"/>
  <c r="I192" i="7"/>
  <c r="I193" i="7"/>
  <c r="I194" i="7"/>
  <c r="I176" i="7"/>
  <c r="I177" i="7"/>
  <c r="I178" i="7"/>
  <c r="I145" i="7"/>
  <c r="I146" i="7"/>
  <c r="I147" i="7"/>
  <c r="I148" i="7"/>
  <c r="I149" i="7"/>
  <c r="I150" i="7"/>
  <c r="I151" i="7"/>
  <c r="I152" i="7"/>
  <c r="I153" i="7"/>
  <c r="I154" i="7"/>
  <c r="I155" i="7"/>
  <c r="I156" i="7"/>
  <c r="I157" i="7"/>
  <c r="I158" i="7"/>
  <c r="I159" i="7"/>
  <c r="I160" i="7"/>
  <c r="I161" i="7"/>
  <c r="I162" i="7"/>
  <c r="I163" i="7"/>
  <c r="I164" i="7"/>
  <c r="I165" i="7"/>
  <c r="I166" i="7"/>
  <c r="I167" i="7"/>
  <c r="I168" i="7"/>
  <c r="I169" i="7"/>
  <c r="I170" i="7"/>
  <c r="I171" i="7"/>
  <c r="I172" i="7"/>
  <c r="I173" i="7"/>
  <c r="I174" i="7"/>
  <c r="I175" i="7"/>
  <c r="I144" i="7"/>
  <c r="F418" i="7"/>
  <c r="H57" i="6"/>
  <c r="H39" i="6"/>
  <c r="U2434" i="1"/>
  <c r="B11" i="9"/>
  <c r="B7" i="9" l="1"/>
  <c r="B14" i="9" s="1"/>
  <c r="F14" i="9" s="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Y8" i="1"/>
  <c r="Y9" i="1"/>
  <c r="Y10" i="1"/>
  <c r="Y11" i="1"/>
  <c r="Y12" i="1"/>
  <c r="Y13" i="1"/>
  <c r="Y14" i="1"/>
  <c r="Y15" i="1"/>
  <c r="Y16" i="1"/>
  <c r="Y17" i="1"/>
  <c r="Y18" i="1"/>
  <c r="Y19" i="1"/>
  <c r="Y20" i="1"/>
  <c r="Y21" i="1"/>
  <c r="Y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6" i="1"/>
  <c r="Y217" i="1"/>
  <c r="Y218" i="1"/>
  <c r="Y219"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6" i="1"/>
  <c r="Y307" i="1"/>
  <c r="Y308" i="1"/>
  <c r="Y309" i="1"/>
  <c r="Y310" i="1"/>
  <c r="Y311" i="1"/>
  <c r="Y312" i="1"/>
  <c r="Y313" i="1"/>
  <c r="Y314" i="1"/>
  <c r="Y315" i="1"/>
  <c r="Y316" i="1"/>
  <c r="Y317" i="1"/>
  <c r="Y318" i="1"/>
  <c r="Y319" i="1"/>
  <c r="Y320" i="1"/>
  <c r="Y321" i="1"/>
  <c r="Y322" i="1"/>
  <c r="Y323" i="1"/>
  <c r="Y324" i="1"/>
  <c r="Y325" i="1"/>
  <c r="Y326" i="1"/>
  <c r="Y327" i="1"/>
  <c r="Y328" i="1"/>
  <c r="Y329" i="1"/>
  <c r="Y330" i="1"/>
  <c r="Y331" i="1"/>
  <c r="Y332" i="1"/>
  <c r="Y333" i="1"/>
  <c r="Y334" i="1"/>
  <c r="Y335" i="1"/>
  <c r="Y336" i="1"/>
  <c r="Y337" i="1"/>
  <c r="Y338" i="1"/>
  <c r="Y339" i="1"/>
  <c r="Y340" i="1"/>
  <c r="Y341" i="1"/>
  <c r="Y342" i="1"/>
  <c r="Y343" i="1"/>
  <c r="Y344" i="1"/>
  <c r="Y345" i="1"/>
  <c r="Y346" i="1"/>
  <c r="Y347" i="1"/>
  <c r="Y348" i="1"/>
  <c r="Y349" i="1"/>
  <c r="Y350" i="1"/>
  <c r="Y351" i="1"/>
  <c r="Y352" i="1"/>
  <c r="Y353" i="1"/>
  <c r="Y354" i="1"/>
  <c r="Y355" i="1"/>
  <c r="Y356" i="1"/>
  <c r="Y357" i="1"/>
  <c r="Y358" i="1"/>
  <c r="Y359" i="1"/>
  <c r="Y360" i="1"/>
  <c r="Y361" i="1"/>
  <c r="Y362" i="1"/>
  <c r="Y363" i="1"/>
  <c r="Y364" i="1"/>
  <c r="Y365" i="1"/>
  <c r="Y366" i="1"/>
  <c r="Y367" i="1"/>
  <c r="Y368" i="1"/>
  <c r="Y369" i="1"/>
  <c r="Y370" i="1"/>
  <c r="Y371" i="1"/>
  <c r="Y372" i="1"/>
  <c r="Y373" i="1"/>
  <c r="Y374" i="1"/>
  <c r="Y375" i="1"/>
  <c r="Y376" i="1"/>
  <c r="Y377" i="1"/>
  <c r="Y378" i="1"/>
  <c r="Y379" i="1"/>
  <c r="Y380" i="1"/>
  <c r="Y381" i="1"/>
  <c r="Y382" i="1"/>
  <c r="Y383" i="1"/>
  <c r="Y384" i="1"/>
  <c r="Y385" i="1"/>
  <c r="Y386" i="1"/>
  <c r="Y387" i="1"/>
  <c r="Y388" i="1"/>
  <c r="Y389" i="1"/>
  <c r="Y390" i="1"/>
  <c r="Y391" i="1"/>
  <c r="Y392" i="1"/>
  <c r="Y393" i="1"/>
  <c r="Y394" i="1"/>
  <c r="Y395" i="1"/>
  <c r="Y396" i="1"/>
  <c r="Y397" i="1"/>
  <c r="Y398" i="1"/>
  <c r="Y399" i="1"/>
  <c r="Y400" i="1"/>
  <c r="Y401" i="1"/>
  <c r="Y402" i="1"/>
  <c r="Y403" i="1"/>
  <c r="Y404" i="1"/>
  <c r="Y405" i="1"/>
  <c r="Y406" i="1"/>
  <c r="Y407" i="1"/>
  <c r="Y408" i="1"/>
  <c r="Y409" i="1"/>
  <c r="Y410" i="1"/>
  <c r="Y411" i="1"/>
  <c r="Y412" i="1"/>
  <c r="Y413" i="1"/>
  <c r="Y414" i="1"/>
  <c r="Y415" i="1"/>
  <c r="Y416" i="1"/>
  <c r="Y417" i="1"/>
  <c r="Y418" i="1"/>
  <c r="Y419" i="1"/>
  <c r="Y420" i="1"/>
  <c r="Y421" i="1"/>
  <c r="Y422" i="1"/>
  <c r="Y423" i="1"/>
  <c r="Y424" i="1"/>
  <c r="Y425" i="1"/>
  <c r="Y426" i="1"/>
  <c r="Y427" i="1"/>
  <c r="Y428" i="1"/>
  <c r="Y429" i="1"/>
  <c r="Y430" i="1"/>
  <c r="Y431" i="1"/>
  <c r="Y432" i="1"/>
  <c r="Y433" i="1"/>
  <c r="Y434" i="1"/>
  <c r="Y435" i="1"/>
  <c r="Y436" i="1"/>
  <c r="Y437" i="1"/>
  <c r="Y438" i="1"/>
  <c r="Y439" i="1"/>
  <c r="Y440" i="1"/>
  <c r="Y441" i="1"/>
  <c r="Y442" i="1"/>
  <c r="Y443" i="1"/>
  <c r="Y444" i="1"/>
  <c r="Y445" i="1"/>
  <c r="Y446" i="1"/>
  <c r="Y447" i="1"/>
  <c r="Y448" i="1"/>
  <c r="Y449" i="1"/>
  <c r="Y450" i="1"/>
  <c r="Y451" i="1"/>
  <c r="Y452" i="1"/>
  <c r="Y453" i="1"/>
  <c r="Y454" i="1"/>
  <c r="Y455" i="1"/>
  <c r="Y456" i="1"/>
  <c r="Y457" i="1"/>
  <c r="Y458" i="1"/>
  <c r="Y459" i="1"/>
  <c r="Y460" i="1"/>
  <c r="Y461" i="1"/>
  <c r="Y462" i="1"/>
  <c r="Y463" i="1"/>
  <c r="Y464" i="1"/>
  <c r="Y465" i="1"/>
  <c r="Y466" i="1"/>
  <c r="Y467" i="1"/>
  <c r="Y468" i="1"/>
  <c r="Y469" i="1"/>
  <c r="Y470" i="1"/>
  <c r="Y471" i="1"/>
  <c r="Y472" i="1"/>
  <c r="Y473" i="1"/>
  <c r="Y474" i="1"/>
  <c r="Y475" i="1"/>
  <c r="Y476" i="1"/>
  <c r="Y477" i="1"/>
  <c r="Y478" i="1"/>
  <c r="Y479" i="1"/>
  <c r="Y480" i="1"/>
  <c r="Y481" i="1"/>
  <c r="Y482" i="1"/>
  <c r="Y483" i="1"/>
  <c r="Y484" i="1"/>
  <c r="Y485" i="1"/>
  <c r="Y486" i="1"/>
  <c r="Y487" i="1"/>
  <c r="Y488" i="1"/>
  <c r="Y489" i="1"/>
  <c r="Y490" i="1"/>
  <c r="Y491" i="1"/>
  <c r="Y492" i="1"/>
  <c r="Y493" i="1"/>
  <c r="Y494" i="1"/>
  <c r="Y495" i="1"/>
  <c r="Y496" i="1"/>
  <c r="Y497" i="1"/>
  <c r="Y498" i="1"/>
  <c r="Y499" i="1"/>
  <c r="Y500" i="1"/>
  <c r="Y501" i="1"/>
  <c r="Y502" i="1"/>
  <c r="Y503" i="1"/>
  <c r="Y504" i="1"/>
  <c r="Y505" i="1"/>
  <c r="Y506" i="1"/>
  <c r="Y507" i="1"/>
  <c r="Y508" i="1"/>
  <c r="Y509" i="1"/>
  <c r="Y510" i="1"/>
  <c r="Y511" i="1"/>
  <c r="Y512" i="1"/>
  <c r="Y513" i="1"/>
  <c r="Y514" i="1"/>
  <c r="Y515" i="1"/>
  <c r="Y516" i="1"/>
  <c r="Y517" i="1"/>
  <c r="Y518" i="1"/>
  <c r="Y519" i="1"/>
  <c r="Y520" i="1"/>
  <c r="Y521" i="1"/>
  <c r="Y522" i="1"/>
  <c r="Y523" i="1"/>
  <c r="Y524" i="1"/>
  <c r="Y525" i="1"/>
  <c r="Y526" i="1"/>
  <c r="Y527" i="1"/>
  <c r="Y528" i="1"/>
  <c r="Y529" i="1"/>
  <c r="Y530" i="1"/>
  <c r="Y531" i="1"/>
  <c r="Y532" i="1"/>
  <c r="Y533" i="1"/>
  <c r="Y534" i="1"/>
  <c r="Y535" i="1"/>
  <c r="Y536" i="1"/>
  <c r="Y537" i="1"/>
  <c r="Y538" i="1"/>
  <c r="Y539" i="1"/>
  <c r="Y540" i="1"/>
  <c r="Y541" i="1"/>
  <c r="Y542" i="1"/>
  <c r="Y543" i="1"/>
  <c r="Y544" i="1"/>
  <c r="Y545" i="1"/>
  <c r="Y546" i="1"/>
  <c r="Y547" i="1"/>
  <c r="Y548" i="1"/>
  <c r="Y549" i="1"/>
  <c r="Y550" i="1"/>
  <c r="Y551" i="1"/>
  <c r="Y552" i="1"/>
  <c r="Y553" i="1"/>
  <c r="Y554" i="1"/>
  <c r="Y555" i="1"/>
  <c r="Y556" i="1"/>
  <c r="Y557" i="1"/>
  <c r="Y558" i="1"/>
  <c r="Y559" i="1"/>
  <c r="Y560" i="1"/>
  <c r="Y561" i="1"/>
  <c r="Y562" i="1"/>
  <c r="Y563" i="1"/>
  <c r="Y564" i="1"/>
  <c r="Y565" i="1"/>
  <c r="Y566" i="1"/>
  <c r="Y567" i="1"/>
  <c r="Y568" i="1"/>
  <c r="Y569" i="1"/>
  <c r="Y570" i="1"/>
  <c r="Y571" i="1"/>
  <c r="Y572" i="1"/>
  <c r="Y573" i="1"/>
  <c r="Y574" i="1"/>
  <c r="Y575" i="1"/>
  <c r="Y576" i="1"/>
  <c r="Y577" i="1"/>
  <c r="Y578" i="1"/>
  <c r="Y579" i="1"/>
  <c r="Y580" i="1"/>
  <c r="Y581" i="1"/>
  <c r="Y582" i="1"/>
  <c r="Y583" i="1"/>
  <c r="Y584" i="1"/>
  <c r="Y585" i="1"/>
  <c r="Y586" i="1"/>
  <c r="Y587" i="1"/>
  <c r="Y588" i="1"/>
  <c r="Y589" i="1"/>
  <c r="Y590" i="1"/>
  <c r="Y591" i="1"/>
  <c r="Y592" i="1"/>
  <c r="Y593" i="1"/>
  <c r="Y594" i="1"/>
  <c r="Y595" i="1"/>
  <c r="Y596" i="1"/>
  <c r="Y597" i="1"/>
  <c r="Y598" i="1"/>
  <c r="Y599" i="1"/>
  <c r="Y600" i="1"/>
  <c r="Y601" i="1"/>
  <c r="Y602" i="1"/>
  <c r="Y603" i="1"/>
  <c r="Y604" i="1"/>
  <c r="Y605" i="1"/>
  <c r="Y606" i="1"/>
  <c r="Y607" i="1"/>
  <c r="Y608" i="1"/>
  <c r="Y609" i="1"/>
  <c r="Y610" i="1"/>
  <c r="Y611" i="1"/>
  <c r="Y612" i="1"/>
  <c r="Y613" i="1"/>
  <c r="Y614" i="1"/>
  <c r="Y615" i="1"/>
  <c r="Y616" i="1"/>
  <c r="Y617" i="1"/>
  <c r="Y618" i="1"/>
  <c r="Y619" i="1"/>
  <c r="Y620" i="1"/>
  <c r="Y621" i="1"/>
  <c r="Y622" i="1"/>
  <c r="Y623" i="1"/>
  <c r="Y624" i="1"/>
  <c r="Y625" i="1"/>
  <c r="Y626" i="1"/>
  <c r="Y627" i="1"/>
  <c r="Y628" i="1"/>
  <c r="Y629" i="1"/>
  <c r="Y630" i="1"/>
  <c r="Y631" i="1"/>
  <c r="Y632" i="1"/>
  <c r="Y633" i="1"/>
  <c r="Y634" i="1"/>
  <c r="Y635" i="1"/>
  <c r="Y636" i="1"/>
  <c r="Y637" i="1"/>
  <c r="Y638" i="1"/>
  <c r="Y639" i="1"/>
  <c r="Y640" i="1"/>
  <c r="Y641" i="1"/>
  <c r="Y642" i="1"/>
  <c r="Y643" i="1"/>
  <c r="Y644" i="1"/>
  <c r="Y645" i="1"/>
  <c r="Y646" i="1"/>
  <c r="Y647" i="1"/>
  <c r="Y648" i="1"/>
  <c r="Y649" i="1"/>
  <c r="Y650" i="1"/>
  <c r="Y651" i="1"/>
  <c r="Y652" i="1"/>
  <c r="Y653" i="1"/>
  <c r="Y654" i="1"/>
  <c r="Y655" i="1"/>
  <c r="Y656" i="1"/>
  <c r="Y657" i="1"/>
  <c r="Y658" i="1"/>
  <c r="Y659" i="1"/>
  <c r="Y660" i="1"/>
  <c r="Y661" i="1"/>
  <c r="Y662" i="1"/>
  <c r="Y663" i="1"/>
  <c r="Y664" i="1"/>
  <c r="Y665" i="1"/>
  <c r="Y666" i="1"/>
  <c r="Y667" i="1"/>
  <c r="Y668" i="1"/>
  <c r="Y669" i="1"/>
  <c r="Y670" i="1"/>
  <c r="Y671" i="1"/>
  <c r="Y672" i="1"/>
  <c r="Y673" i="1"/>
  <c r="Y674" i="1"/>
  <c r="Y675" i="1"/>
  <c r="Y676" i="1"/>
  <c r="Y677" i="1"/>
  <c r="Y678" i="1"/>
  <c r="Y679" i="1"/>
  <c r="Y680" i="1"/>
  <c r="Y681" i="1"/>
  <c r="Y682" i="1"/>
  <c r="Y683" i="1"/>
  <c r="Y684" i="1"/>
  <c r="Y685" i="1"/>
  <c r="Y686" i="1"/>
  <c r="Y687" i="1"/>
  <c r="Y688" i="1"/>
  <c r="Y689" i="1"/>
  <c r="Y690" i="1"/>
  <c r="Y691" i="1"/>
  <c r="Y692" i="1"/>
  <c r="Y693" i="1"/>
  <c r="Y694" i="1"/>
  <c r="Y695" i="1"/>
  <c r="Y696" i="1"/>
  <c r="Y697" i="1"/>
  <c r="Y698" i="1"/>
  <c r="Y699" i="1"/>
  <c r="Y700" i="1"/>
  <c r="Y701" i="1"/>
  <c r="Y702" i="1"/>
  <c r="Y703" i="1"/>
  <c r="Y704" i="1"/>
  <c r="Y705" i="1"/>
  <c r="Y706" i="1"/>
  <c r="Y707" i="1"/>
  <c r="Y708" i="1"/>
  <c r="Y709" i="1"/>
  <c r="Y710" i="1"/>
  <c r="Y711" i="1"/>
  <c r="Y712" i="1"/>
  <c r="Y713" i="1"/>
  <c r="Y714" i="1"/>
  <c r="Y715" i="1"/>
  <c r="Y716" i="1"/>
  <c r="Y717" i="1"/>
  <c r="Y718" i="1"/>
  <c r="Y719" i="1"/>
  <c r="Y720" i="1"/>
  <c r="Y721" i="1"/>
  <c r="Y722" i="1"/>
  <c r="Y723" i="1"/>
  <c r="Y724" i="1"/>
  <c r="Y725" i="1"/>
  <c r="Y726" i="1"/>
  <c r="Y727" i="1"/>
  <c r="Y728" i="1"/>
  <c r="Y729" i="1"/>
  <c r="Y730" i="1"/>
  <c r="Y731" i="1"/>
  <c r="Y732" i="1"/>
  <c r="Y733" i="1"/>
  <c r="Y734" i="1"/>
  <c r="Y735" i="1"/>
  <c r="Y736" i="1"/>
  <c r="Y737" i="1"/>
  <c r="Y738" i="1"/>
  <c r="Y739" i="1"/>
  <c r="Y740" i="1"/>
  <c r="Y741" i="1"/>
  <c r="Y742" i="1"/>
  <c r="Y743" i="1"/>
  <c r="Y744" i="1"/>
  <c r="Y745" i="1"/>
  <c r="Y746" i="1"/>
  <c r="Y747" i="1"/>
  <c r="Y748" i="1"/>
  <c r="Y749" i="1"/>
  <c r="Y750" i="1"/>
  <c r="Y751" i="1"/>
  <c r="Y752" i="1"/>
  <c r="Y753" i="1"/>
  <c r="Y754" i="1"/>
  <c r="Y755" i="1"/>
  <c r="Y756" i="1"/>
  <c r="Y757" i="1"/>
  <c r="Y758" i="1"/>
  <c r="Y759" i="1"/>
  <c r="Y760" i="1"/>
  <c r="Y761" i="1"/>
  <c r="Y762" i="1"/>
  <c r="Y763" i="1"/>
  <c r="Y764" i="1"/>
  <c r="Y765" i="1"/>
  <c r="Y766" i="1"/>
  <c r="Y767" i="1"/>
  <c r="Y768" i="1"/>
  <c r="Y769" i="1"/>
  <c r="Y770" i="1"/>
  <c r="Y771" i="1"/>
  <c r="Y772" i="1"/>
  <c r="Y773" i="1"/>
  <c r="Y774" i="1"/>
  <c r="Y775" i="1"/>
  <c r="Y776" i="1"/>
  <c r="Y777" i="1"/>
  <c r="Y778" i="1"/>
  <c r="Y779" i="1"/>
  <c r="Y780" i="1"/>
  <c r="Y781" i="1"/>
  <c r="Y782" i="1"/>
  <c r="Y783" i="1"/>
  <c r="Y784" i="1"/>
  <c r="Y785" i="1"/>
  <c r="Y786" i="1"/>
  <c r="Y787" i="1"/>
  <c r="Y788" i="1"/>
  <c r="Y789" i="1"/>
  <c r="Y790" i="1"/>
  <c r="Y791" i="1"/>
  <c r="Y792" i="1"/>
  <c r="Y793" i="1"/>
  <c r="Y794" i="1"/>
  <c r="Y795" i="1"/>
  <c r="Y796" i="1"/>
  <c r="Y797" i="1"/>
  <c r="Y798" i="1"/>
  <c r="Y799" i="1"/>
  <c r="Y800" i="1"/>
  <c r="Y801" i="1"/>
  <c r="Y802" i="1"/>
  <c r="Y803" i="1"/>
  <c r="Y804" i="1"/>
  <c r="Y805" i="1"/>
  <c r="Y806" i="1"/>
  <c r="Y807" i="1"/>
  <c r="Y808" i="1"/>
  <c r="Y809" i="1"/>
  <c r="Y810" i="1"/>
  <c r="Y811" i="1"/>
  <c r="Y812" i="1"/>
  <c r="Y813" i="1"/>
  <c r="Y814" i="1"/>
  <c r="Y815" i="1"/>
  <c r="Y816" i="1"/>
  <c r="Y817" i="1"/>
  <c r="Y818" i="1"/>
  <c r="Y819" i="1"/>
  <c r="Y820" i="1"/>
  <c r="Y821" i="1"/>
  <c r="Y822" i="1"/>
  <c r="Y823" i="1"/>
  <c r="Y824" i="1"/>
  <c r="Y825" i="1"/>
  <c r="Y826" i="1"/>
  <c r="Y827" i="1"/>
  <c r="Y828" i="1"/>
  <c r="Y829" i="1"/>
  <c r="Y830" i="1"/>
  <c r="Y831" i="1"/>
  <c r="Y832" i="1"/>
  <c r="Y833" i="1"/>
  <c r="Y834" i="1"/>
  <c r="Y835" i="1"/>
  <c r="Y836" i="1"/>
  <c r="Y837" i="1"/>
  <c r="Y838" i="1"/>
  <c r="Y839" i="1"/>
  <c r="Y840" i="1"/>
  <c r="Y841" i="1"/>
  <c r="Y842" i="1"/>
  <c r="Y843" i="1"/>
  <c r="Y844" i="1"/>
  <c r="Y845" i="1"/>
  <c r="Y846" i="1"/>
  <c r="Y847" i="1"/>
  <c r="Y848" i="1"/>
  <c r="Y849" i="1"/>
  <c r="Y850" i="1"/>
  <c r="Y851" i="1"/>
  <c r="Y852" i="1"/>
  <c r="Y853" i="1"/>
  <c r="Y854" i="1"/>
  <c r="Y855" i="1"/>
  <c r="Y856" i="1"/>
  <c r="Y857" i="1"/>
  <c r="Y858" i="1"/>
  <c r="Y859" i="1"/>
  <c r="Y860" i="1"/>
  <c r="Y861" i="1"/>
  <c r="Y862" i="1"/>
  <c r="Y863" i="1"/>
  <c r="Y864" i="1"/>
  <c r="Y865" i="1"/>
  <c r="Y866" i="1"/>
  <c r="Y867" i="1"/>
  <c r="Y868" i="1"/>
  <c r="Y869" i="1"/>
  <c r="Y870" i="1"/>
  <c r="Y871" i="1"/>
  <c r="Y872" i="1"/>
  <c r="Y873" i="1"/>
  <c r="Y874" i="1"/>
  <c r="Y875" i="1"/>
  <c r="Y876" i="1"/>
  <c r="Y877" i="1"/>
  <c r="Y878" i="1"/>
  <c r="Y879" i="1"/>
  <c r="Y880" i="1"/>
  <c r="Y881" i="1"/>
  <c r="Y882" i="1"/>
  <c r="Y883" i="1"/>
  <c r="Y884" i="1"/>
  <c r="Y885" i="1"/>
  <c r="Y886" i="1"/>
  <c r="Y887" i="1"/>
  <c r="Y888" i="1"/>
  <c r="Y889" i="1"/>
  <c r="Y890" i="1"/>
  <c r="Y891" i="1"/>
  <c r="Y892" i="1"/>
  <c r="Y893" i="1"/>
  <c r="Y894" i="1"/>
  <c r="Y895" i="1"/>
  <c r="Y896" i="1"/>
  <c r="Y897" i="1"/>
  <c r="Y898" i="1"/>
  <c r="Y899" i="1"/>
  <c r="Y900" i="1"/>
  <c r="Y901" i="1"/>
  <c r="Y902" i="1"/>
  <c r="Y903" i="1"/>
  <c r="Y904" i="1"/>
  <c r="Y905" i="1"/>
  <c r="Y906" i="1"/>
  <c r="Y907" i="1"/>
  <c r="Y908" i="1"/>
  <c r="Y909" i="1"/>
  <c r="Y910" i="1"/>
  <c r="Y911" i="1"/>
  <c r="Y912" i="1"/>
  <c r="Y913" i="1"/>
  <c r="Y914" i="1"/>
  <c r="Y915" i="1"/>
  <c r="Y916" i="1"/>
  <c r="Y917" i="1"/>
  <c r="Y918" i="1"/>
  <c r="Y919" i="1"/>
  <c r="Y920" i="1"/>
  <c r="Y921" i="1"/>
  <c r="Y922" i="1"/>
  <c r="Y923" i="1"/>
  <c r="Y924" i="1"/>
  <c r="Y925" i="1"/>
  <c r="Y926" i="1"/>
  <c r="Y927" i="1"/>
  <c r="Y928" i="1"/>
  <c r="Y929" i="1"/>
  <c r="Y930" i="1"/>
  <c r="Y931" i="1"/>
  <c r="Y932" i="1"/>
  <c r="Y933" i="1"/>
  <c r="Y934" i="1"/>
  <c r="Y935" i="1"/>
  <c r="Y936" i="1"/>
  <c r="Y937" i="1"/>
  <c r="Y938" i="1"/>
  <c r="Y939" i="1"/>
  <c r="Y940" i="1"/>
  <c r="Y941" i="1"/>
  <c r="Y942" i="1"/>
  <c r="Y943" i="1"/>
  <c r="Y944" i="1"/>
  <c r="Y945" i="1"/>
  <c r="Y946" i="1"/>
  <c r="Y947" i="1"/>
  <c r="Y948" i="1"/>
  <c r="Y949" i="1"/>
  <c r="Y950" i="1"/>
  <c r="Y951" i="1"/>
  <c r="Y952" i="1"/>
  <c r="Y953" i="1"/>
  <c r="Y954" i="1"/>
  <c r="Y955" i="1"/>
  <c r="Y956" i="1"/>
  <c r="Y957" i="1"/>
  <c r="Y958" i="1"/>
  <c r="Y959" i="1"/>
  <c r="Y960" i="1"/>
  <c r="Y961" i="1"/>
  <c r="Y962" i="1"/>
  <c r="Y963" i="1"/>
  <c r="Y964" i="1"/>
  <c r="Y965" i="1"/>
  <c r="Y966" i="1"/>
  <c r="Y967" i="1"/>
  <c r="Y968" i="1"/>
  <c r="Y969" i="1"/>
  <c r="Y970" i="1"/>
  <c r="Y971" i="1"/>
  <c r="Y972" i="1"/>
  <c r="Y973" i="1"/>
  <c r="Y974" i="1"/>
  <c r="Y975" i="1"/>
  <c r="Y976" i="1"/>
  <c r="Y977" i="1"/>
  <c r="Y978" i="1"/>
  <c r="Y979" i="1"/>
  <c r="Y980" i="1"/>
  <c r="Y981" i="1"/>
  <c r="Y982" i="1"/>
  <c r="Y983" i="1"/>
  <c r="Y984" i="1"/>
  <c r="Y985" i="1"/>
  <c r="Y986" i="1"/>
  <c r="Y987" i="1"/>
  <c r="Y988" i="1"/>
  <c r="Y989" i="1"/>
  <c r="Y990" i="1"/>
  <c r="Y991" i="1"/>
  <c r="Y992" i="1"/>
  <c r="Y993" i="1"/>
  <c r="Y994" i="1"/>
  <c r="Y995" i="1"/>
  <c r="Y996" i="1"/>
  <c r="Y997" i="1"/>
  <c r="Y998" i="1"/>
  <c r="Y999" i="1"/>
  <c r="Y1000" i="1"/>
  <c r="Y1001" i="1"/>
  <c r="Y1002" i="1"/>
  <c r="Y1003" i="1"/>
  <c r="Y1004" i="1"/>
  <c r="Y1005" i="1"/>
  <c r="Y1006" i="1"/>
  <c r="Y1007" i="1"/>
  <c r="Y1008" i="1"/>
  <c r="Y1009" i="1"/>
  <c r="Y1010" i="1"/>
  <c r="Y1011" i="1"/>
  <c r="Y1012" i="1"/>
  <c r="Y1013" i="1"/>
  <c r="Y1014" i="1"/>
  <c r="Y1015" i="1"/>
  <c r="Y1016" i="1"/>
  <c r="Y1017" i="1"/>
  <c r="Y1018" i="1"/>
  <c r="Y1019" i="1"/>
  <c r="Y1020" i="1"/>
  <c r="Y1021" i="1"/>
  <c r="Y1022" i="1"/>
  <c r="Y1023" i="1"/>
  <c r="Y1024" i="1"/>
  <c r="Y1025" i="1"/>
  <c r="Y1026" i="1"/>
  <c r="Y1027" i="1"/>
  <c r="Y1028" i="1"/>
  <c r="Y1029" i="1"/>
  <c r="Y1030" i="1"/>
  <c r="Y1031" i="1"/>
  <c r="Y1032" i="1"/>
  <c r="Y1033" i="1"/>
  <c r="Y1034" i="1"/>
  <c r="Y1035" i="1"/>
  <c r="Y1036" i="1"/>
  <c r="Y1037" i="1"/>
  <c r="Y1038" i="1"/>
  <c r="Y1039" i="1"/>
  <c r="Y1040" i="1"/>
  <c r="Y1041" i="1"/>
  <c r="Y1042" i="1"/>
  <c r="Y1043" i="1"/>
  <c r="Y1044" i="1"/>
  <c r="Y1045" i="1"/>
  <c r="Y1046" i="1"/>
  <c r="Y1047" i="1"/>
  <c r="Y1048" i="1"/>
  <c r="Y1049" i="1"/>
  <c r="Y1050" i="1"/>
  <c r="Y1051" i="1"/>
  <c r="Y1052" i="1"/>
  <c r="Y1053" i="1"/>
  <c r="Y1054" i="1"/>
  <c r="Y1055" i="1"/>
  <c r="Y1056" i="1"/>
  <c r="Y1057" i="1"/>
  <c r="Y1058" i="1"/>
  <c r="Y1059" i="1"/>
  <c r="Y1060" i="1"/>
  <c r="Y1061" i="1"/>
  <c r="Y1062" i="1"/>
  <c r="Y1063" i="1"/>
  <c r="Y1064" i="1"/>
  <c r="Y1065" i="1"/>
  <c r="Y1066" i="1"/>
  <c r="Y1067" i="1"/>
  <c r="Y1068" i="1"/>
  <c r="Y1069" i="1"/>
  <c r="Y1070" i="1"/>
  <c r="Y1071" i="1"/>
  <c r="Y1072" i="1"/>
  <c r="Y1073" i="1"/>
  <c r="Y1074" i="1"/>
  <c r="Y1075" i="1"/>
  <c r="Y1076" i="1"/>
  <c r="Y1077" i="1"/>
  <c r="Y1078" i="1"/>
  <c r="Y1079" i="1"/>
  <c r="Y1080" i="1"/>
  <c r="Y1081" i="1"/>
  <c r="Y1082" i="1"/>
  <c r="Y1083" i="1"/>
  <c r="Y1084" i="1"/>
  <c r="Y1085" i="1"/>
  <c r="Y1086" i="1"/>
  <c r="Y1087" i="1"/>
  <c r="Y1088" i="1"/>
  <c r="Y1089" i="1"/>
  <c r="Y1090" i="1"/>
  <c r="Y1091" i="1"/>
  <c r="Y1092" i="1"/>
  <c r="Y1093" i="1"/>
  <c r="Y1094" i="1"/>
  <c r="Y1095" i="1"/>
  <c r="Y1096" i="1"/>
  <c r="Y1097" i="1"/>
  <c r="Y1098" i="1"/>
  <c r="Y1099" i="1"/>
  <c r="Y1100" i="1"/>
  <c r="Y1101" i="1"/>
  <c r="Y1102" i="1"/>
  <c r="Y1103" i="1"/>
  <c r="Y1104" i="1"/>
  <c r="Y1105" i="1"/>
  <c r="Y1106" i="1"/>
  <c r="Y1107" i="1"/>
  <c r="Y1108" i="1"/>
  <c r="Y1109" i="1"/>
  <c r="Y1110" i="1"/>
  <c r="Y1111" i="1"/>
  <c r="Y1112" i="1"/>
  <c r="Y1113" i="1"/>
  <c r="Y1114" i="1"/>
  <c r="Y1115" i="1"/>
  <c r="Y1116" i="1"/>
  <c r="Y1117" i="1"/>
  <c r="Y1118" i="1"/>
  <c r="Y1119" i="1"/>
  <c r="Y1120" i="1"/>
  <c r="Y1121" i="1"/>
  <c r="Y1122" i="1"/>
  <c r="Y1123" i="1"/>
  <c r="Y1124" i="1"/>
  <c r="Y1125" i="1"/>
  <c r="Y1126" i="1"/>
  <c r="Y1127" i="1"/>
  <c r="Y1128" i="1"/>
  <c r="Y1129" i="1"/>
  <c r="Y1130" i="1"/>
  <c r="Y1131" i="1"/>
  <c r="Y1132" i="1"/>
  <c r="Y1133" i="1"/>
  <c r="Y1134" i="1"/>
  <c r="Y1135" i="1"/>
  <c r="Y1136" i="1"/>
  <c r="Y1137" i="1"/>
  <c r="Y1138" i="1"/>
  <c r="Y1139" i="1"/>
  <c r="Y1140" i="1"/>
  <c r="Y1141" i="1"/>
  <c r="Y1142" i="1"/>
  <c r="Y1143" i="1"/>
  <c r="Y1144" i="1"/>
  <c r="Y1145" i="1"/>
  <c r="Y1146" i="1"/>
  <c r="Y1147" i="1"/>
  <c r="Y1148" i="1"/>
  <c r="Y1149" i="1"/>
  <c r="Y1150" i="1"/>
  <c r="Y1151" i="1"/>
  <c r="Y1152" i="1"/>
  <c r="Y1153" i="1"/>
  <c r="Y1154" i="1"/>
  <c r="Y1155" i="1"/>
  <c r="Y1156" i="1"/>
  <c r="Y1157" i="1"/>
  <c r="Y1158" i="1"/>
  <c r="Y1159" i="1"/>
  <c r="Y1160" i="1"/>
  <c r="Y1161" i="1"/>
  <c r="Y1162" i="1"/>
  <c r="Y1163" i="1"/>
  <c r="Y1164" i="1"/>
  <c r="Y1165" i="1"/>
  <c r="Y1166" i="1"/>
  <c r="Y1167" i="1"/>
  <c r="Y1168" i="1"/>
  <c r="Y1169" i="1"/>
  <c r="Y1170" i="1"/>
  <c r="Y1171" i="1"/>
  <c r="Y1172" i="1"/>
  <c r="Y1173" i="1"/>
  <c r="Y1174" i="1"/>
  <c r="Y1175" i="1"/>
  <c r="Y1176" i="1"/>
  <c r="Y1177" i="1"/>
  <c r="Y1178" i="1"/>
  <c r="Y1179" i="1"/>
  <c r="Y1180" i="1"/>
  <c r="Y1181" i="1"/>
  <c r="Y1182" i="1"/>
  <c r="Y1183" i="1"/>
  <c r="Y1184" i="1"/>
  <c r="Y1185" i="1"/>
  <c r="Y1186" i="1"/>
  <c r="Y1187" i="1"/>
  <c r="Y1188" i="1"/>
  <c r="Y1189" i="1"/>
  <c r="Y1190" i="1"/>
  <c r="Y1191" i="1"/>
  <c r="Y1192" i="1"/>
  <c r="Y1193" i="1"/>
  <c r="Y1194" i="1"/>
  <c r="Y1195" i="1"/>
  <c r="Y1196" i="1"/>
  <c r="Y1197" i="1"/>
  <c r="Y1198" i="1"/>
  <c r="Y1199" i="1"/>
  <c r="Y1200" i="1"/>
  <c r="Y1201" i="1"/>
  <c r="Y1202" i="1"/>
  <c r="Y1203" i="1"/>
  <c r="Y1204" i="1"/>
  <c r="Y1205" i="1"/>
  <c r="Y1206" i="1"/>
  <c r="Y1207" i="1"/>
  <c r="Y1208" i="1"/>
  <c r="Y1209" i="1"/>
  <c r="Y1210" i="1"/>
  <c r="Y1211" i="1"/>
  <c r="Y1212" i="1"/>
  <c r="Y1213" i="1"/>
  <c r="Y1214" i="1"/>
  <c r="Y1215" i="1"/>
  <c r="Y1216" i="1"/>
  <c r="Y1217" i="1"/>
  <c r="Y1218" i="1"/>
  <c r="Y1219" i="1"/>
  <c r="Y1220" i="1"/>
  <c r="Y1221" i="1"/>
  <c r="Y1222" i="1"/>
  <c r="Y1223" i="1"/>
  <c r="Y1224" i="1"/>
  <c r="Y1225" i="1"/>
  <c r="Y1226" i="1"/>
  <c r="Y1227" i="1"/>
  <c r="Y1228" i="1"/>
  <c r="Y1229" i="1"/>
  <c r="Y1230" i="1"/>
  <c r="Y1231" i="1"/>
  <c r="Y1232" i="1"/>
  <c r="Y1233" i="1"/>
  <c r="Y1234" i="1"/>
  <c r="Y1235" i="1"/>
  <c r="Y1236" i="1"/>
  <c r="Y1237" i="1"/>
  <c r="Y1238" i="1"/>
  <c r="Y1239" i="1"/>
  <c r="Y1240" i="1"/>
  <c r="Y1241" i="1"/>
  <c r="Y1242" i="1"/>
  <c r="Y1243" i="1"/>
  <c r="Y1244" i="1"/>
  <c r="Y1245" i="1"/>
  <c r="Y1246" i="1"/>
  <c r="Y1247" i="1"/>
  <c r="Y1248" i="1"/>
  <c r="Y1249" i="1"/>
  <c r="Y1250" i="1"/>
  <c r="Y1251" i="1"/>
  <c r="Y1252" i="1"/>
  <c r="Y1253" i="1"/>
  <c r="Y1254" i="1"/>
  <c r="Y1255" i="1"/>
  <c r="Y1256" i="1"/>
  <c r="Y1257" i="1"/>
  <c r="Y1258" i="1"/>
  <c r="Y1259" i="1"/>
  <c r="Y1260" i="1"/>
  <c r="Y1261" i="1"/>
  <c r="Y1262" i="1"/>
  <c r="Y1263" i="1"/>
  <c r="Y1264" i="1"/>
  <c r="Y1265" i="1"/>
  <c r="Y1266" i="1"/>
  <c r="Y1267" i="1"/>
  <c r="Y1268" i="1"/>
  <c r="Y1269" i="1"/>
  <c r="Y1270" i="1"/>
  <c r="Y1271" i="1"/>
  <c r="Y1272" i="1"/>
  <c r="Y1273" i="1"/>
  <c r="Y1274" i="1"/>
  <c r="Y1275" i="1"/>
  <c r="Y1276" i="1"/>
  <c r="Y1277" i="1"/>
  <c r="Y1278" i="1"/>
  <c r="Y1279" i="1"/>
  <c r="Y1280" i="1"/>
  <c r="Y1281" i="1"/>
  <c r="Y1282" i="1"/>
  <c r="Y1283" i="1"/>
  <c r="Y1284" i="1"/>
  <c r="Y1285" i="1"/>
  <c r="Y1286" i="1"/>
  <c r="Y1287" i="1"/>
  <c r="Y1288" i="1"/>
  <c r="Y1289" i="1"/>
  <c r="Y1290" i="1"/>
  <c r="Y1291" i="1"/>
  <c r="Y1292" i="1"/>
  <c r="Y1293" i="1"/>
  <c r="Y1294" i="1"/>
  <c r="Y1295" i="1"/>
  <c r="Y1296" i="1"/>
  <c r="Y1297" i="1"/>
  <c r="Y1298" i="1"/>
  <c r="Y1299" i="1"/>
  <c r="Y1300" i="1"/>
  <c r="Y1301" i="1"/>
  <c r="Y1302" i="1"/>
  <c r="Y1303" i="1"/>
  <c r="Y1304" i="1"/>
  <c r="Y1305" i="1"/>
  <c r="Y1306" i="1"/>
  <c r="Y1307" i="1"/>
  <c r="Y1308" i="1"/>
  <c r="Y1309" i="1"/>
  <c r="Y1310" i="1"/>
  <c r="Y1311" i="1"/>
  <c r="Y1312" i="1"/>
  <c r="Y1313" i="1"/>
  <c r="Y1314" i="1"/>
  <c r="Y1315" i="1"/>
  <c r="Y1316" i="1"/>
  <c r="Y1317" i="1"/>
  <c r="Y1318" i="1"/>
  <c r="Y1319" i="1"/>
  <c r="Y1320" i="1"/>
  <c r="Y1321" i="1"/>
  <c r="Y1322" i="1"/>
  <c r="Y1323" i="1"/>
  <c r="Y1324" i="1"/>
  <c r="Y1325" i="1"/>
  <c r="Y1326" i="1"/>
  <c r="Y1327" i="1"/>
  <c r="Y1328" i="1"/>
  <c r="Y1329" i="1"/>
  <c r="Y1330" i="1"/>
  <c r="Y1331" i="1"/>
  <c r="Y1332" i="1"/>
  <c r="Y1333" i="1"/>
  <c r="Y1334" i="1"/>
  <c r="Y1335" i="1"/>
  <c r="Y1336" i="1"/>
  <c r="Y1337" i="1"/>
  <c r="Y1338" i="1"/>
  <c r="Y1339" i="1"/>
  <c r="Y1340" i="1"/>
  <c r="Y1341" i="1"/>
  <c r="Y1342" i="1"/>
  <c r="Y1343" i="1"/>
  <c r="Y1344" i="1"/>
  <c r="Y1345" i="1"/>
  <c r="Y1346" i="1"/>
  <c r="Y1347" i="1"/>
  <c r="Y1348" i="1"/>
  <c r="Y1349" i="1"/>
  <c r="Y1350" i="1"/>
  <c r="Y1351" i="1"/>
  <c r="Y1352" i="1"/>
  <c r="Y1353" i="1"/>
  <c r="Y1354" i="1"/>
  <c r="Y1355" i="1"/>
  <c r="Y1356" i="1"/>
  <c r="Y1357" i="1"/>
  <c r="Y1358" i="1"/>
  <c r="Y1359" i="1"/>
  <c r="Y1360" i="1"/>
  <c r="Y1361" i="1"/>
  <c r="Y1362" i="1"/>
  <c r="Y1363" i="1"/>
  <c r="Y1364" i="1"/>
  <c r="Y1365" i="1"/>
  <c r="Y1366" i="1"/>
  <c r="Y1367" i="1"/>
  <c r="Y1368" i="1"/>
  <c r="Y1369" i="1"/>
  <c r="Y1370" i="1"/>
  <c r="Y1371" i="1"/>
  <c r="Y1372" i="1"/>
  <c r="Y1373" i="1"/>
  <c r="Y1374" i="1"/>
  <c r="Y1375" i="1"/>
  <c r="Y1376" i="1"/>
  <c r="Y1377" i="1"/>
  <c r="Y1378" i="1"/>
  <c r="Y1379" i="1"/>
  <c r="Y1380" i="1"/>
  <c r="Y1381" i="1"/>
  <c r="Y1382" i="1"/>
  <c r="Y1383" i="1"/>
  <c r="Y1384" i="1"/>
  <c r="Y1385" i="1"/>
  <c r="Y1386" i="1"/>
  <c r="Y1387" i="1"/>
  <c r="Y1388" i="1"/>
  <c r="Y1389" i="1"/>
  <c r="Y1390" i="1"/>
  <c r="Y1391" i="1"/>
  <c r="Y1392" i="1"/>
  <c r="Y1393" i="1"/>
  <c r="Y1394" i="1"/>
  <c r="Y1395" i="1"/>
  <c r="Y1396" i="1"/>
  <c r="Y1397" i="1"/>
  <c r="Y1398" i="1"/>
  <c r="Y1399" i="1"/>
  <c r="Y1400" i="1"/>
  <c r="Y1401" i="1"/>
  <c r="Y1402" i="1"/>
  <c r="Y1403" i="1"/>
  <c r="Y1404" i="1"/>
  <c r="Y1405" i="1"/>
  <c r="Y1406" i="1"/>
  <c r="Y1407" i="1"/>
  <c r="Y1408" i="1"/>
  <c r="Y1409" i="1"/>
  <c r="Y1410" i="1"/>
  <c r="Y1411" i="1"/>
  <c r="Y1412" i="1"/>
  <c r="Y1413" i="1"/>
  <c r="Y1414" i="1"/>
  <c r="Y1415" i="1"/>
  <c r="Y1416" i="1"/>
  <c r="Y1417" i="1"/>
  <c r="Y1418" i="1"/>
  <c r="Y1419" i="1"/>
  <c r="Y1420" i="1"/>
  <c r="Y1421" i="1"/>
  <c r="Y1422" i="1"/>
  <c r="Y1423" i="1"/>
  <c r="Y1424" i="1"/>
  <c r="Y1425" i="1"/>
  <c r="Y1426" i="1"/>
  <c r="Y1427" i="1"/>
  <c r="Y1428" i="1"/>
  <c r="Y1429" i="1"/>
  <c r="Y1430" i="1"/>
  <c r="Y1431" i="1"/>
  <c r="Y1432" i="1"/>
  <c r="Y1433" i="1"/>
  <c r="Y1434" i="1"/>
  <c r="Y1435" i="1"/>
  <c r="Y1436" i="1"/>
  <c r="Y1437" i="1"/>
  <c r="Y1438" i="1"/>
  <c r="Y1439" i="1"/>
  <c r="Y1440" i="1"/>
  <c r="Y1441" i="1"/>
  <c r="Y1442" i="1"/>
  <c r="Y1443" i="1"/>
  <c r="Y1444" i="1"/>
  <c r="Y1445" i="1"/>
  <c r="Y1446" i="1"/>
  <c r="Y1447" i="1"/>
  <c r="Y1448" i="1"/>
  <c r="Y1449" i="1"/>
  <c r="Y1450" i="1"/>
  <c r="Y1451" i="1"/>
  <c r="Y1452" i="1"/>
  <c r="Y1453" i="1"/>
  <c r="Y1454" i="1"/>
  <c r="Y1455" i="1"/>
  <c r="Y1456" i="1"/>
  <c r="Y1457" i="1"/>
  <c r="Y1458" i="1"/>
  <c r="Y1459" i="1"/>
  <c r="Y1460" i="1"/>
  <c r="Y1461" i="1"/>
  <c r="Y1462" i="1"/>
  <c r="Y1463" i="1"/>
  <c r="Y1464" i="1"/>
  <c r="Y1465" i="1"/>
  <c r="Y1466" i="1"/>
  <c r="Y1467" i="1"/>
  <c r="Y1468" i="1"/>
  <c r="Y1469" i="1"/>
  <c r="Y1470" i="1"/>
  <c r="Y1471" i="1"/>
  <c r="Y1472" i="1"/>
  <c r="Y1473" i="1"/>
  <c r="Y1474" i="1"/>
  <c r="Y1475" i="1"/>
  <c r="Y1476" i="1"/>
  <c r="Y1477" i="1"/>
  <c r="Y1478" i="1"/>
  <c r="Y1479" i="1"/>
  <c r="Y1480" i="1"/>
  <c r="Y1481" i="1"/>
  <c r="Y1482" i="1"/>
  <c r="Y1483" i="1"/>
  <c r="Y1484" i="1"/>
  <c r="Y1485" i="1"/>
  <c r="Y1486" i="1"/>
  <c r="Y1487" i="1"/>
  <c r="Y1488" i="1"/>
  <c r="Y1489" i="1"/>
  <c r="Y1490" i="1"/>
  <c r="Y1491" i="1"/>
  <c r="Y1492" i="1"/>
  <c r="Y1493" i="1"/>
  <c r="Y1494" i="1"/>
  <c r="Y1495" i="1"/>
  <c r="Y1496" i="1"/>
  <c r="Y1497" i="1"/>
  <c r="Y1498" i="1"/>
  <c r="Y1499" i="1"/>
  <c r="Y1500" i="1"/>
  <c r="Y1501" i="1"/>
  <c r="Y1502" i="1"/>
  <c r="Y1503" i="1"/>
  <c r="Y1504" i="1"/>
  <c r="Y1505" i="1"/>
  <c r="Y1506" i="1"/>
  <c r="Y1507" i="1"/>
  <c r="Y1508" i="1"/>
  <c r="Y1509" i="1"/>
  <c r="Y1510" i="1"/>
  <c r="Y1511" i="1"/>
  <c r="Y1512" i="1"/>
  <c r="Y1513" i="1"/>
  <c r="Y1514" i="1"/>
  <c r="Y1515" i="1"/>
  <c r="Y1516" i="1"/>
  <c r="Y1517" i="1"/>
  <c r="Y1518" i="1"/>
  <c r="Y1519" i="1"/>
  <c r="Y1520" i="1"/>
  <c r="Y1521" i="1"/>
  <c r="Y1522" i="1"/>
  <c r="Y1523" i="1"/>
  <c r="Y1524" i="1"/>
  <c r="Y1525" i="1"/>
  <c r="Y1526" i="1"/>
  <c r="Y1527" i="1"/>
  <c r="Y1528" i="1"/>
  <c r="Y1529" i="1"/>
  <c r="Y1530" i="1"/>
  <c r="Y1531" i="1"/>
  <c r="Y1532" i="1"/>
  <c r="Y1533" i="1"/>
  <c r="Y1534" i="1"/>
  <c r="Y1535" i="1"/>
  <c r="Y1536" i="1"/>
  <c r="Y1537" i="1"/>
  <c r="Y1538" i="1"/>
  <c r="Y1539" i="1"/>
  <c r="Y1540" i="1"/>
  <c r="Y1541" i="1"/>
  <c r="Y1542" i="1"/>
  <c r="Y1543" i="1"/>
  <c r="Y1544" i="1"/>
  <c r="Y1545" i="1"/>
  <c r="Y1546" i="1"/>
  <c r="Y1547" i="1"/>
  <c r="Y1548" i="1"/>
  <c r="Y1549" i="1"/>
  <c r="Y1550" i="1"/>
  <c r="Y1551" i="1"/>
  <c r="Y1552" i="1"/>
  <c r="Y1553" i="1"/>
  <c r="Y1554" i="1"/>
  <c r="Y1555" i="1"/>
  <c r="Y1556" i="1"/>
  <c r="Y1557" i="1"/>
  <c r="Y1558" i="1"/>
  <c r="Y1559" i="1"/>
  <c r="Y1560" i="1"/>
  <c r="Y1561" i="1"/>
  <c r="Y1562" i="1"/>
  <c r="Y1563" i="1"/>
  <c r="Y1564" i="1"/>
  <c r="Y1565" i="1"/>
  <c r="Y1566" i="1"/>
  <c r="Y1567" i="1"/>
  <c r="Y1568" i="1"/>
  <c r="Y1569" i="1"/>
  <c r="Y1570" i="1"/>
  <c r="Y1571" i="1"/>
  <c r="Y1572" i="1"/>
  <c r="Y1573" i="1"/>
  <c r="Y1574" i="1"/>
  <c r="Y1575" i="1"/>
  <c r="Y1576" i="1"/>
  <c r="Y1577" i="1"/>
  <c r="Y1578" i="1"/>
  <c r="Y1579" i="1"/>
  <c r="Y1580" i="1"/>
  <c r="Y1581" i="1"/>
  <c r="Y1582" i="1"/>
  <c r="Y1583" i="1"/>
  <c r="Y1584" i="1"/>
  <c r="Y1585" i="1"/>
  <c r="Y1586" i="1"/>
  <c r="Y1587" i="1"/>
  <c r="Y1588" i="1"/>
  <c r="Y1589" i="1"/>
  <c r="Y1590" i="1"/>
  <c r="Y1591" i="1"/>
  <c r="Y1592" i="1"/>
  <c r="Y1593" i="1"/>
  <c r="Y1594" i="1"/>
  <c r="Y1595" i="1"/>
  <c r="Y1596" i="1"/>
  <c r="Y1597" i="1"/>
  <c r="Y1598" i="1"/>
  <c r="Y1599" i="1"/>
  <c r="Y1600" i="1"/>
  <c r="Y1601" i="1"/>
  <c r="Y1602" i="1"/>
  <c r="Y1603" i="1"/>
  <c r="Y1604" i="1"/>
  <c r="Y1605" i="1"/>
  <c r="Y1606" i="1"/>
  <c r="Y1607" i="1"/>
  <c r="Y1608" i="1"/>
  <c r="Y1609" i="1"/>
  <c r="Y1610" i="1"/>
  <c r="Y1611" i="1"/>
  <c r="Y1612" i="1"/>
  <c r="Y1613" i="1"/>
  <c r="Y1614" i="1"/>
  <c r="Y1615" i="1"/>
  <c r="Y1616" i="1"/>
  <c r="Y1617" i="1"/>
  <c r="Y1618" i="1"/>
  <c r="Y1619" i="1"/>
  <c r="Y1620" i="1"/>
  <c r="Y1621" i="1"/>
  <c r="Y1622" i="1"/>
  <c r="Y1623" i="1"/>
  <c r="Y1624" i="1"/>
  <c r="Y1625" i="1"/>
  <c r="Y1626" i="1"/>
  <c r="Y1627" i="1"/>
  <c r="Y1628" i="1"/>
  <c r="Y1629" i="1"/>
  <c r="Y1630" i="1"/>
  <c r="Y1631" i="1"/>
  <c r="Y1632" i="1"/>
  <c r="Y1633" i="1"/>
  <c r="Y1634" i="1"/>
  <c r="Y1635" i="1"/>
  <c r="Y1636" i="1"/>
  <c r="Y1637" i="1"/>
  <c r="Y1638" i="1"/>
  <c r="Y1639" i="1"/>
  <c r="Y1640" i="1"/>
  <c r="Y1641" i="1"/>
  <c r="Y1642" i="1"/>
  <c r="Y1643" i="1"/>
  <c r="Y1644" i="1"/>
  <c r="Y1645" i="1"/>
  <c r="Y1646" i="1"/>
  <c r="Y1647" i="1"/>
  <c r="Y1648" i="1"/>
  <c r="Y1649" i="1"/>
  <c r="Y1650" i="1"/>
  <c r="Y1651" i="1"/>
  <c r="Y1652" i="1"/>
  <c r="Y1653" i="1"/>
  <c r="Y1654" i="1"/>
  <c r="Y1655" i="1"/>
  <c r="Y1656" i="1"/>
  <c r="Y1657" i="1"/>
  <c r="Y1658" i="1"/>
  <c r="Y1659" i="1"/>
  <c r="Y1660" i="1"/>
  <c r="Y1661" i="1"/>
  <c r="Y1662" i="1"/>
  <c r="Y1663" i="1"/>
  <c r="Y1664" i="1"/>
  <c r="Y1665" i="1"/>
  <c r="Y1666" i="1"/>
  <c r="Y1667" i="1"/>
  <c r="Y1668" i="1"/>
  <c r="Y1669" i="1"/>
  <c r="Y1670" i="1"/>
  <c r="Y1671" i="1"/>
  <c r="Y1672" i="1"/>
  <c r="Y1673" i="1"/>
  <c r="Y1674" i="1"/>
  <c r="Y1675" i="1"/>
  <c r="Y1676" i="1"/>
  <c r="Y1677" i="1"/>
  <c r="Y1678" i="1"/>
  <c r="Y1679" i="1"/>
  <c r="Y1680" i="1"/>
  <c r="Y1681" i="1"/>
  <c r="Y1682" i="1"/>
  <c r="Y1683" i="1"/>
  <c r="Y1684" i="1"/>
  <c r="Y1685" i="1"/>
  <c r="Y1686" i="1"/>
  <c r="Y1687" i="1"/>
  <c r="Y1688" i="1"/>
  <c r="Y1689" i="1"/>
  <c r="Y1690" i="1"/>
  <c r="Y1691" i="1"/>
  <c r="Y1692" i="1"/>
  <c r="Y1693" i="1"/>
  <c r="Y1694" i="1"/>
  <c r="Y1695" i="1"/>
  <c r="Y1696" i="1"/>
  <c r="Y1697" i="1"/>
  <c r="Y1698" i="1"/>
  <c r="Y1699" i="1"/>
  <c r="Y1700" i="1"/>
  <c r="Y1701" i="1"/>
  <c r="Y1702" i="1"/>
  <c r="Y1703" i="1"/>
  <c r="Y1704" i="1"/>
  <c r="Y1705" i="1"/>
  <c r="Y1706" i="1"/>
  <c r="Y1707" i="1"/>
  <c r="Y1708" i="1"/>
  <c r="Y1709" i="1"/>
  <c r="Y1710" i="1"/>
  <c r="Y1711" i="1"/>
  <c r="Y1712" i="1"/>
  <c r="Y1713" i="1"/>
  <c r="Y1714" i="1"/>
  <c r="Y1715" i="1"/>
  <c r="Y1716" i="1"/>
  <c r="Y1717" i="1"/>
  <c r="Y1718" i="1"/>
  <c r="Y1719" i="1"/>
  <c r="Y1720" i="1"/>
  <c r="Y1721" i="1"/>
  <c r="Y1722" i="1"/>
  <c r="Y1723" i="1"/>
  <c r="Y1724" i="1"/>
  <c r="Y1725" i="1"/>
  <c r="Y1726" i="1"/>
  <c r="Y1727" i="1"/>
  <c r="Y1728" i="1"/>
  <c r="Y1729" i="1"/>
  <c r="Y1730" i="1"/>
  <c r="Y1731" i="1"/>
  <c r="Y1732" i="1"/>
  <c r="Y1733" i="1"/>
  <c r="Y1734" i="1"/>
  <c r="Y1735" i="1"/>
  <c r="Y1736" i="1"/>
  <c r="Y1737" i="1"/>
  <c r="Y1738" i="1"/>
  <c r="Y1739" i="1"/>
  <c r="Y1740" i="1"/>
  <c r="Y1741" i="1"/>
  <c r="Y1742" i="1"/>
  <c r="Y1743" i="1"/>
  <c r="Y1744" i="1"/>
  <c r="Y1745" i="1"/>
  <c r="Y1746" i="1"/>
  <c r="Y1747" i="1"/>
  <c r="Y1748" i="1"/>
  <c r="Y1749" i="1"/>
  <c r="Y1750" i="1"/>
  <c r="Y1751" i="1"/>
  <c r="Y1752" i="1"/>
  <c r="Y1753" i="1"/>
  <c r="Y1754" i="1"/>
  <c r="Y1755" i="1"/>
  <c r="Y1756" i="1"/>
  <c r="Y1757" i="1"/>
  <c r="Y1758" i="1"/>
  <c r="Y1759" i="1"/>
  <c r="Y1760" i="1"/>
  <c r="Y1761" i="1"/>
  <c r="Y1762" i="1"/>
  <c r="Y1763" i="1"/>
  <c r="Y1764" i="1"/>
  <c r="Y1765" i="1"/>
  <c r="Y1766" i="1"/>
  <c r="Y1767" i="1"/>
  <c r="Y1768" i="1"/>
  <c r="Y1769" i="1"/>
  <c r="Y1770" i="1"/>
  <c r="Y1771" i="1"/>
  <c r="Y1772" i="1"/>
  <c r="Y1773" i="1"/>
  <c r="Y1774" i="1"/>
  <c r="Y1775" i="1"/>
  <c r="Y1776" i="1"/>
  <c r="Y1777" i="1"/>
  <c r="Y1778" i="1"/>
  <c r="Y1779" i="1"/>
  <c r="Y1780" i="1"/>
  <c r="Y1781" i="1"/>
  <c r="Y1782" i="1"/>
  <c r="Y1783" i="1"/>
  <c r="Y1784" i="1"/>
  <c r="Y1785" i="1"/>
  <c r="Y1786" i="1"/>
  <c r="Y1787" i="1"/>
  <c r="Y1788" i="1"/>
  <c r="Y1789" i="1"/>
  <c r="Y1790" i="1"/>
  <c r="Y1791" i="1"/>
  <c r="Y1792" i="1"/>
  <c r="Y1793" i="1"/>
  <c r="Y1794" i="1"/>
  <c r="Y1795" i="1"/>
  <c r="Y1796" i="1"/>
  <c r="Y1797" i="1"/>
  <c r="Y1798" i="1"/>
  <c r="Y1799" i="1"/>
  <c r="Y1800" i="1"/>
  <c r="Y1801" i="1"/>
  <c r="Y1802" i="1"/>
  <c r="Y1803" i="1"/>
  <c r="Y1804" i="1"/>
  <c r="Y1805" i="1"/>
  <c r="Y1806" i="1"/>
  <c r="Y1807" i="1"/>
  <c r="Y1808" i="1"/>
  <c r="Y1809" i="1"/>
  <c r="Y1810" i="1"/>
  <c r="Y1811" i="1"/>
  <c r="Y1812" i="1"/>
  <c r="Y1813" i="1"/>
  <c r="Y1814" i="1"/>
  <c r="Y1815" i="1"/>
  <c r="Y1816" i="1"/>
  <c r="Y1817" i="1"/>
  <c r="Y1818" i="1"/>
  <c r="Y1819" i="1"/>
  <c r="Y1820" i="1"/>
  <c r="Y1821" i="1"/>
  <c r="Y1822" i="1"/>
  <c r="Y1823" i="1"/>
  <c r="Y1824" i="1"/>
  <c r="Y1825" i="1"/>
  <c r="Y1826" i="1"/>
  <c r="Y1827" i="1"/>
  <c r="Y1828" i="1"/>
  <c r="Y1829" i="1"/>
  <c r="Y1830" i="1"/>
  <c r="Y1831" i="1"/>
  <c r="Y1832" i="1"/>
  <c r="Y1833" i="1"/>
  <c r="Y1834" i="1"/>
  <c r="Y1835" i="1"/>
  <c r="Y1836" i="1"/>
  <c r="Y1837" i="1"/>
  <c r="Y1838" i="1"/>
  <c r="Y1839" i="1"/>
  <c r="Y1840" i="1"/>
  <c r="Y1841" i="1"/>
  <c r="Y1842" i="1"/>
  <c r="Y1843" i="1"/>
  <c r="Y1844" i="1"/>
  <c r="Y1845" i="1"/>
  <c r="Y1846" i="1"/>
  <c r="Y1847" i="1"/>
  <c r="Y1848" i="1"/>
  <c r="Y1849" i="1"/>
  <c r="Y1850" i="1"/>
  <c r="Y1851" i="1"/>
  <c r="Y1852" i="1"/>
  <c r="Y1853" i="1"/>
  <c r="Y1854" i="1"/>
  <c r="Y1855" i="1"/>
  <c r="Y1856" i="1"/>
  <c r="Y1857" i="1"/>
  <c r="Y1858" i="1"/>
  <c r="Y1859" i="1"/>
  <c r="Y1860" i="1"/>
  <c r="Y1861" i="1"/>
  <c r="Y1862" i="1"/>
  <c r="Y1863" i="1"/>
  <c r="Y1864" i="1"/>
  <c r="Y1865" i="1"/>
  <c r="Y1866" i="1"/>
  <c r="Y1867" i="1"/>
  <c r="Y1868" i="1"/>
  <c r="Y1869" i="1"/>
  <c r="Y1870" i="1"/>
  <c r="Y1871" i="1"/>
  <c r="Y1872" i="1"/>
  <c r="Y1873" i="1"/>
  <c r="Y1874" i="1"/>
  <c r="Y1875" i="1"/>
  <c r="Y1876" i="1"/>
  <c r="Y1877" i="1"/>
  <c r="Y1878" i="1"/>
  <c r="Y1879" i="1"/>
  <c r="Y1880" i="1"/>
  <c r="Y1881" i="1"/>
  <c r="Y1882" i="1"/>
  <c r="Y1883" i="1"/>
  <c r="Y1884" i="1"/>
  <c r="Y1885" i="1"/>
  <c r="Y1886" i="1"/>
  <c r="Y1887" i="1"/>
  <c r="Y1888" i="1"/>
  <c r="Y1889" i="1"/>
  <c r="Y1890" i="1"/>
  <c r="Y1891" i="1"/>
  <c r="Y1892" i="1"/>
  <c r="Y1893" i="1"/>
  <c r="Y1894" i="1"/>
  <c r="Y1895" i="1"/>
  <c r="Y1896" i="1"/>
  <c r="Y1897" i="1"/>
  <c r="Y1898" i="1"/>
  <c r="Y1899" i="1"/>
  <c r="Y1900" i="1"/>
  <c r="Y1901" i="1"/>
  <c r="Y1902" i="1"/>
  <c r="Y1903" i="1"/>
  <c r="Y1904" i="1"/>
  <c r="Y1905" i="1"/>
  <c r="Y1906" i="1"/>
  <c r="Y1907" i="1"/>
  <c r="Y1908" i="1"/>
  <c r="Y1909" i="1"/>
  <c r="Y1910" i="1"/>
  <c r="Y1911" i="1"/>
  <c r="Y1912" i="1"/>
  <c r="Y1913" i="1"/>
  <c r="Y1914" i="1"/>
  <c r="Y1915" i="1"/>
  <c r="Y1916" i="1"/>
  <c r="Y1917" i="1"/>
  <c r="Y1918" i="1"/>
  <c r="Y1919" i="1"/>
  <c r="Y1920" i="1"/>
  <c r="Y1921" i="1"/>
  <c r="Y1922" i="1"/>
  <c r="Y1923" i="1"/>
  <c r="Y1924" i="1"/>
  <c r="Y1925" i="1"/>
  <c r="Y1926" i="1"/>
  <c r="Y1927" i="1"/>
  <c r="Y1928" i="1"/>
  <c r="Y1929" i="1"/>
  <c r="Y1930" i="1"/>
  <c r="Y1931" i="1"/>
  <c r="Y1932" i="1"/>
  <c r="Y1933" i="1"/>
  <c r="Y1934" i="1"/>
  <c r="Y1935" i="1"/>
  <c r="Y1936" i="1"/>
  <c r="Y1937" i="1"/>
  <c r="Y1938" i="1"/>
  <c r="Y1939" i="1"/>
  <c r="Y1940" i="1"/>
  <c r="Y1941" i="1"/>
  <c r="Y1942" i="1"/>
  <c r="Y1943" i="1"/>
  <c r="Y1944" i="1"/>
  <c r="Y1945" i="1"/>
  <c r="Y1946" i="1"/>
  <c r="Y1947" i="1"/>
  <c r="Y1948" i="1"/>
  <c r="Y1949" i="1"/>
  <c r="Y1950" i="1"/>
  <c r="Y1951" i="1"/>
  <c r="Y1952" i="1"/>
  <c r="Y1953" i="1"/>
  <c r="Y1954" i="1"/>
  <c r="Y1955" i="1"/>
  <c r="Y1956" i="1"/>
  <c r="Y1957" i="1"/>
  <c r="Y1958" i="1"/>
  <c r="Y1959" i="1"/>
  <c r="Y1960" i="1"/>
  <c r="Y1961" i="1"/>
  <c r="Y1962" i="1"/>
  <c r="Y1963" i="1"/>
  <c r="Y1964" i="1"/>
  <c r="Y1965" i="1"/>
  <c r="Y1966" i="1"/>
  <c r="Y1967" i="1"/>
  <c r="Y1968" i="1"/>
  <c r="Y1969" i="1"/>
  <c r="Y1970" i="1"/>
  <c r="Y1971" i="1"/>
  <c r="Y1972" i="1"/>
  <c r="Y1973" i="1"/>
  <c r="Y1974" i="1"/>
  <c r="Y1975" i="1"/>
  <c r="Y1976" i="1"/>
  <c r="Y1977" i="1"/>
  <c r="Y1978" i="1"/>
  <c r="Y1979" i="1"/>
  <c r="Y1980" i="1"/>
  <c r="Y1981" i="1"/>
  <c r="Y1982" i="1"/>
  <c r="Y1983" i="1"/>
  <c r="Y1984" i="1"/>
  <c r="Y1985" i="1"/>
  <c r="Y1986" i="1"/>
  <c r="Y1987" i="1"/>
  <c r="Y1988" i="1"/>
  <c r="Y1989" i="1"/>
  <c r="Y1990" i="1"/>
  <c r="Y1991" i="1"/>
  <c r="Y1992" i="1"/>
  <c r="Y1993" i="1"/>
  <c r="Y1994" i="1"/>
  <c r="Y1995" i="1"/>
  <c r="Y1996" i="1"/>
  <c r="Y1997" i="1"/>
  <c r="Y1998" i="1"/>
  <c r="Y1999" i="1"/>
  <c r="Y2000" i="1"/>
  <c r="Y2001" i="1"/>
  <c r="Y2002" i="1"/>
  <c r="Y2003" i="1"/>
  <c r="Y2004" i="1"/>
  <c r="Y2005" i="1"/>
  <c r="Y2006" i="1"/>
  <c r="Y2007" i="1"/>
  <c r="Y2008" i="1"/>
  <c r="Y2009" i="1"/>
  <c r="Y2010" i="1"/>
  <c r="Y2011" i="1"/>
  <c r="Y2012" i="1"/>
  <c r="Y2013" i="1"/>
  <c r="Y2014" i="1"/>
  <c r="Y2015" i="1"/>
  <c r="Y2016" i="1"/>
  <c r="Y2017" i="1"/>
  <c r="Y2018" i="1"/>
  <c r="Y2019" i="1"/>
  <c r="Y2020" i="1"/>
  <c r="Y2021" i="1"/>
  <c r="Y2022" i="1"/>
  <c r="Y2023" i="1"/>
  <c r="Y2024" i="1"/>
  <c r="Y2025" i="1"/>
  <c r="Y2026" i="1"/>
  <c r="Y2027" i="1"/>
  <c r="Y2028" i="1"/>
  <c r="Y2029" i="1"/>
  <c r="Y2030" i="1"/>
  <c r="Y2031" i="1"/>
  <c r="Y2032" i="1"/>
  <c r="Y2033" i="1"/>
  <c r="Y2034" i="1"/>
  <c r="Y2035" i="1"/>
  <c r="Y2036" i="1"/>
  <c r="Y2037" i="1"/>
  <c r="Y2038" i="1"/>
  <c r="Y2039" i="1"/>
  <c r="Y2040" i="1"/>
  <c r="Y2041" i="1"/>
  <c r="Y2042" i="1"/>
  <c r="Y2043" i="1"/>
  <c r="Y2044" i="1"/>
  <c r="Y2045" i="1"/>
  <c r="Y2046" i="1"/>
  <c r="Y2047" i="1"/>
  <c r="Y2048" i="1"/>
  <c r="Y2049" i="1"/>
  <c r="Y2050" i="1"/>
  <c r="Y2051" i="1"/>
  <c r="Y2052" i="1"/>
  <c r="Y2053" i="1"/>
  <c r="Y2054" i="1"/>
  <c r="Y2055" i="1"/>
  <c r="Y2056" i="1"/>
  <c r="Y2057" i="1"/>
  <c r="Y2058" i="1"/>
  <c r="Y2059" i="1"/>
  <c r="Y2060" i="1"/>
  <c r="Y2061" i="1"/>
  <c r="Y2062" i="1"/>
  <c r="Y2063" i="1"/>
  <c r="Y2064" i="1"/>
  <c r="Y2065" i="1"/>
  <c r="Y2066" i="1"/>
  <c r="Y2067" i="1"/>
  <c r="Y2068" i="1"/>
  <c r="Y2069" i="1"/>
  <c r="Y2070" i="1"/>
  <c r="Y2071" i="1"/>
  <c r="Y2072" i="1"/>
  <c r="Y2073" i="1"/>
  <c r="Y2074" i="1"/>
  <c r="Y2075" i="1"/>
  <c r="Y2076" i="1"/>
  <c r="Y2077" i="1"/>
  <c r="Y2078" i="1"/>
  <c r="Y2079" i="1"/>
  <c r="Y2080" i="1"/>
  <c r="Y2081" i="1"/>
  <c r="Y2082" i="1"/>
  <c r="Y2083" i="1"/>
  <c r="Y2084" i="1"/>
  <c r="Y2085" i="1"/>
  <c r="Y2086" i="1"/>
  <c r="Y2087" i="1"/>
  <c r="Y2088" i="1"/>
  <c r="Y2089" i="1"/>
  <c r="Y2090" i="1"/>
  <c r="Y2091" i="1"/>
  <c r="Y2092" i="1"/>
  <c r="Y2093" i="1"/>
  <c r="Y2094" i="1"/>
  <c r="Y2095" i="1"/>
  <c r="Y2096" i="1"/>
  <c r="Y2097" i="1"/>
  <c r="Y2098" i="1"/>
  <c r="Y2099" i="1"/>
  <c r="Y2100" i="1"/>
  <c r="Y2101" i="1"/>
  <c r="Y2102" i="1"/>
  <c r="Y2103" i="1"/>
  <c r="Y2104" i="1"/>
  <c r="Y2105" i="1"/>
  <c r="Y2106" i="1"/>
  <c r="Y2107" i="1"/>
  <c r="Y2108" i="1"/>
  <c r="Y2109" i="1"/>
  <c r="Y2110" i="1"/>
  <c r="Y2111" i="1"/>
  <c r="Y2112" i="1"/>
  <c r="Y2113" i="1"/>
  <c r="Y2114" i="1"/>
  <c r="Y2115" i="1"/>
  <c r="Y2116" i="1"/>
  <c r="Y2117" i="1"/>
  <c r="Y2118" i="1"/>
  <c r="Y2119" i="1"/>
  <c r="Y2120" i="1"/>
  <c r="Y2121" i="1"/>
  <c r="Y2122" i="1"/>
  <c r="Y2123" i="1"/>
  <c r="Y2124" i="1"/>
  <c r="Y2125" i="1"/>
  <c r="Y2126" i="1"/>
  <c r="Y2127" i="1"/>
  <c r="Y2128" i="1"/>
  <c r="Y2129" i="1"/>
  <c r="Y2130" i="1"/>
  <c r="Y2131" i="1"/>
  <c r="Y2132" i="1"/>
  <c r="Y2133" i="1"/>
  <c r="Y2134" i="1"/>
  <c r="Y2135" i="1"/>
  <c r="Y2136" i="1"/>
  <c r="Y2137" i="1"/>
  <c r="Y2138" i="1"/>
  <c r="Y2139" i="1"/>
  <c r="Y2140" i="1"/>
  <c r="Y2141" i="1"/>
  <c r="Y2142" i="1"/>
  <c r="Y2143" i="1"/>
  <c r="Y2144" i="1"/>
  <c r="Y2145" i="1"/>
  <c r="Y2146" i="1"/>
  <c r="Y2147" i="1"/>
  <c r="Y2148" i="1"/>
  <c r="Y2149" i="1"/>
  <c r="Y2150" i="1"/>
  <c r="Y2151" i="1"/>
  <c r="Y2152" i="1"/>
  <c r="Y2153" i="1"/>
  <c r="Y2154" i="1"/>
  <c r="Y2155" i="1"/>
  <c r="Y2156" i="1"/>
  <c r="Y2157" i="1"/>
  <c r="Y2158" i="1"/>
  <c r="Y2159" i="1"/>
  <c r="Y2160" i="1"/>
  <c r="Y2161" i="1"/>
  <c r="Y2162" i="1"/>
  <c r="Y2163" i="1"/>
  <c r="Y2164" i="1"/>
  <c r="Y2165" i="1"/>
  <c r="Y2166" i="1"/>
  <c r="Y2167" i="1"/>
  <c r="Y2168" i="1"/>
  <c r="Y2169" i="1"/>
  <c r="Y2170" i="1"/>
  <c r="Y2171" i="1"/>
  <c r="Y2172" i="1"/>
  <c r="Y2173" i="1"/>
  <c r="Y2174" i="1"/>
  <c r="Y2175" i="1"/>
  <c r="Y2176" i="1"/>
  <c r="Y2177" i="1"/>
  <c r="Y2178" i="1"/>
  <c r="Y2179" i="1"/>
  <c r="Y2180" i="1"/>
  <c r="Y2181" i="1"/>
  <c r="Y2182" i="1"/>
  <c r="Y2183" i="1"/>
  <c r="Y2184" i="1"/>
  <c r="Y2185" i="1"/>
  <c r="Y2186" i="1"/>
  <c r="Y2187" i="1"/>
  <c r="Y2188" i="1"/>
  <c r="Y2189" i="1"/>
  <c r="Y2190" i="1"/>
  <c r="Y2191" i="1"/>
  <c r="Y2192" i="1"/>
  <c r="Y2193" i="1"/>
  <c r="Y2194" i="1"/>
  <c r="Y2195" i="1"/>
  <c r="Y2196" i="1"/>
  <c r="Y2197" i="1"/>
  <c r="Y2198" i="1"/>
  <c r="Y2199" i="1"/>
  <c r="Y2200" i="1"/>
  <c r="Y2201" i="1"/>
  <c r="Y2202" i="1"/>
  <c r="Y2203" i="1"/>
  <c r="Y2204" i="1"/>
  <c r="Y2205" i="1"/>
  <c r="Y2206" i="1"/>
  <c r="Y2207" i="1"/>
  <c r="Y2208" i="1"/>
  <c r="Y2209" i="1"/>
  <c r="Y2210" i="1"/>
  <c r="Y2211" i="1"/>
  <c r="Y2212" i="1"/>
  <c r="Y2213" i="1"/>
  <c r="Y2214" i="1"/>
  <c r="Y2215" i="1"/>
  <c r="Y2216" i="1"/>
  <c r="Y2217" i="1"/>
  <c r="Y2218" i="1"/>
  <c r="Y2219" i="1"/>
  <c r="Y2220" i="1"/>
  <c r="Y2221" i="1"/>
  <c r="Y2222" i="1"/>
  <c r="Y2223" i="1"/>
  <c r="Y2224" i="1"/>
  <c r="Y2225" i="1"/>
  <c r="Y2226" i="1"/>
  <c r="Y2227" i="1"/>
  <c r="Y2228" i="1"/>
  <c r="Y2229" i="1"/>
  <c r="Y2230" i="1"/>
  <c r="Y2231" i="1"/>
  <c r="Y2232" i="1"/>
  <c r="Y2233" i="1"/>
  <c r="Y2234" i="1"/>
  <c r="Y2235" i="1"/>
  <c r="Y2236" i="1"/>
  <c r="Y2237" i="1"/>
  <c r="Y2238" i="1"/>
  <c r="Y2239" i="1"/>
  <c r="Y2240" i="1"/>
  <c r="Y2241" i="1"/>
  <c r="Y2242" i="1"/>
  <c r="Y2243" i="1"/>
  <c r="Y2244" i="1"/>
  <c r="Y2245" i="1"/>
  <c r="Y2246" i="1"/>
  <c r="Y2247" i="1"/>
  <c r="Y2248" i="1"/>
  <c r="Y2249" i="1"/>
  <c r="Y2250" i="1"/>
  <c r="Y2251" i="1"/>
  <c r="Y2252" i="1"/>
  <c r="Y2253" i="1"/>
  <c r="Y2254" i="1"/>
  <c r="Y2255" i="1"/>
  <c r="Y2256" i="1"/>
  <c r="Y2257" i="1"/>
  <c r="Y2258" i="1"/>
  <c r="Y2259" i="1"/>
  <c r="Y2260" i="1"/>
  <c r="Y2261" i="1"/>
  <c r="Y2262" i="1"/>
  <c r="Y2263" i="1"/>
  <c r="Y2264" i="1"/>
  <c r="Y2265" i="1"/>
  <c r="Y2266" i="1"/>
  <c r="Y2267" i="1"/>
  <c r="Y2268" i="1"/>
  <c r="Y2269" i="1"/>
  <c r="Y2270" i="1"/>
  <c r="Y2271" i="1"/>
  <c r="Y2272" i="1"/>
  <c r="Y2273" i="1"/>
  <c r="Y2274" i="1"/>
  <c r="Y2275" i="1"/>
  <c r="Y2276" i="1"/>
  <c r="Y2277" i="1"/>
  <c r="Y2278" i="1"/>
  <c r="Y2279" i="1"/>
  <c r="Y2280" i="1"/>
  <c r="Y2281" i="1"/>
  <c r="Y2282" i="1"/>
  <c r="Y2283" i="1"/>
  <c r="Y2284" i="1"/>
  <c r="Y2285" i="1"/>
  <c r="Y2286" i="1"/>
  <c r="Y2287" i="1"/>
  <c r="Y2288" i="1"/>
  <c r="Y2289" i="1"/>
  <c r="Y2290" i="1"/>
  <c r="Y2291" i="1"/>
  <c r="Y2292" i="1"/>
  <c r="Y2293" i="1"/>
  <c r="Y2294" i="1"/>
  <c r="Y2295" i="1"/>
  <c r="Y2296" i="1"/>
  <c r="Y2297" i="1"/>
  <c r="Y2298" i="1"/>
  <c r="Y2299" i="1"/>
  <c r="Y2300" i="1"/>
  <c r="Y2301" i="1"/>
  <c r="Y2302" i="1"/>
  <c r="Y2303" i="1"/>
  <c r="Y2304" i="1"/>
  <c r="Y2305" i="1"/>
  <c r="Y2306" i="1"/>
  <c r="Y2307" i="1"/>
  <c r="Y2308" i="1"/>
  <c r="Y2309" i="1"/>
  <c r="Y2310" i="1"/>
  <c r="Y2311" i="1"/>
  <c r="Y2312" i="1"/>
  <c r="Y2313" i="1"/>
  <c r="Y2314" i="1"/>
  <c r="Y2315" i="1"/>
  <c r="Y2316" i="1"/>
  <c r="Y2317" i="1"/>
  <c r="Y2318" i="1"/>
  <c r="Y2319" i="1"/>
  <c r="Y2320" i="1"/>
  <c r="Y2321" i="1"/>
  <c r="Y2322" i="1"/>
  <c r="Y2323" i="1"/>
  <c r="Y2324" i="1"/>
  <c r="Y2325" i="1"/>
  <c r="Y2326" i="1"/>
  <c r="Y2327" i="1"/>
  <c r="Y2328" i="1"/>
  <c r="Y2329" i="1"/>
  <c r="Y2330" i="1"/>
  <c r="Y2331" i="1"/>
  <c r="Y2332" i="1"/>
  <c r="Y2333" i="1"/>
  <c r="Y2334" i="1"/>
  <c r="Y2335" i="1"/>
  <c r="Y2336" i="1"/>
  <c r="Y2337" i="1"/>
  <c r="Y2338" i="1"/>
  <c r="Y2339" i="1"/>
  <c r="Y2340" i="1"/>
  <c r="Y2341" i="1"/>
  <c r="Y2342" i="1"/>
  <c r="Y2343" i="1"/>
  <c r="Y2344" i="1"/>
  <c r="Y2345" i="1"/>
  <c r="Y2346" i="1"/>
  <c r="Y2347" i="1"/>
  <c r="Y2348" i="1"/>
  <c r="Y2349" i="1"/>
  <c r="Y2350" i="1"/>
  <c r="Y2351" i="1"/>
  <c r="Y2352" i="1"/>
  <c r="Y2353" i="1"/>
  <c r="Y2354" i="1"/>
  <c r="Y2355" i="1"/>
  <c r="Y2356" i="1"/>
  <c r="Y2357" i="1"/>
  <c r="Y2358" i="1"/>
  <c r="Y2359" i="1"/>
  <c r="Y2360" i="1"/>
  <c r="Y2361" i="1"/>
  <c r="Y2362" i="1"/>
  <c r="Y2363" i="1"/>
  <c r="Y2364" i="1"/>
  <c r="Y2365" i="1"/>
  <c r="Y2366" i="1"/>
  <c r="Y2367" i="1"/>
  <c r="Y2368" i="1"/>
  <c r="Y2369" i="1"/>
  <c r="Y2370" i="1"/>
  <c r="Y2371" i="1"/>
  <c r="Y2372" i="1"/>
  <c r="Y2373" i="1"/>
  <c r="Y2374" i="1"/>
  <c r="Y2375" i="1"/>
  <c r="Y2376" i="1"/>
  <c r="Y2377" i="1"/>
  <c r="Y2378" i="1"/>
  <c r="Y2379" i="1"/>
  <c r="Y2380" i="1"/>
  <c r="Y2381" i="1"/>
  <c r="Y2382" i="1"/>
  <c r="Y2383" i="1"/>
  <c r="Y2384" i="1"/>
  <c r="Y2385" i="1"/>
  <c r="Y2386" i="1"/>
  <c r="Y2387" i="1"/>
  <c r="Y2388" i="1"/>
  <c r="Y2389" i="1"/>
  <c r="Y2390" i="1"/>
  <c r="Y2391" i="1"/>
  <c r="Y2392" i="1"/>
  <c r="Y2393" i="1"/>
  <c r="Y2394" i="1"/>
  <c r="Y2395" i="1"/>
  <c r="Y2396" i="1"/>
  <c r="Y2397" i="1"/>
  <c r="Y2398" i="1"/>
  <c r="Y2399" i="1"/>
  <c r="Y2400" i="1"/>
  <c r="Y2401" i="1"/>
  <c r="Y2402" i="1"/>
  <c r="Y2403" i="1"/>
  <c r="Y2404" i="1"/>
  <c r="Y2405" i="1"/>
  <c r="Y2406" i="1"/>
  <c r="Y2407" i="1"/>
  <c r="Y2408" i="1"/>
  <c r="Y2409" i="1"/>
  <c r="Y2410" i="1"/>
  <c r="Y2411" i="1"/>
  <c r="Y2412" i="1"/>
  <c r="Y2413" i="1"/>
  <c r="Y2414" i="1"/>
  <c r="Y2415" i="1"/>
  <c r="Y2416" i="1"/>
  <c r="Y2417" i="1"/>
  <c r="Y2418" i="1"/>
  <c r="Y2419" i="1"/>
  <c r="Y2420" i="1"/>
  <c r="Y2421" i="1"/>
  <c r="Y2422" i="1"/>
  <c r="Y2423" i="1"/>
  <c r="Y2424" i="1"/>
  <c r="Y2425" i="1"/>
  <c r="Y2426" i="1"/>
  <c r="Y2427" i="1"/>
  <c r="Y2428" i="1"/>
  <c r="X8" i="1"/>
  <c r="X9" i="1"/>
  <c r="X10" i="1"/>
  <c r="X11" i="1"/>
  <c r="X12" i="1"/>
  <c r="X13" i="1"/>
  <c r="X14" i="1"/>
  <c r="X15" i="1"/>
  <c r="X16" i="1"/>
  <c r="X17" i="1"/>
  <c r="X18" i="1"/>
  <c r="X19"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79" i="1"/>
  <c r="X80" i="1"/>
  <c r="X81" i="1"/>
  <c r="X82" i="1"/>
  <c r="X83" i="1"/>
  <c r="X84" i="1"/>
  <c r="X85" i="1"/>
  <c r="X86" i="1"/>
  <c r="X87" i="1"/>
  <c r="X88" i="1"/>
  <c r="X89" i="1"/>
  <c r="X90" i="1"/>
  <c r="X91" i="1"/>
  <c r="X92" i="1"/>
  <c r="X93" i="1"/>
  <c r="X94" i="1"/>
  <c r="X95" i="1"/>
  <c r="X96" i="1"/>
  <c r="X97" i="1"/>
  <c r="X98" i="1"/>
  <c r="X99" i="1"/>
  <c r="X100" i="1"/>
  <c r="X101" i="1"/>
  <c r="X102" i="1"/>
  <c r="X103" i="1"/>
  <c r="X104" i="1"/>
  <c r="X105" i="1"/>
  <c r="X106" i="1"/>
  <c r="X107" i="1"/>
  <c r="X108" i="1"/>
  <c r="X109" i="1"/>
  <c r="X110" i="1"/>
  <c r="X111" i="1"/>
  <c r="X112" i="1"/>
  <c r="X113" i="1"/>
  <c r="X114" i="1"/>
  <c r="X115" i="1"/>
  <c r="X116" i="1"/>
  <c r="X117" i="1"/>
  <c r="X118" i="1"/>
  <c r="X119" i="1"/>
  <c r="X120" i="1"/>
  <c r="X121" i="1"/>
  <c r="X122" i="1"/>
  <c r="X123" i="1"/>
  <c r="X124" i="1"/>
  <c r="X125" i="1"/>
  <c r="X126" i="1"/>
  <c r="X127" i="1"/>
  <c r="X128" i="1"/>
  <c r="X129" i="1"/>
  <c r="X130" i="1"/>
  <c r="X131" i="1"/>
  <c r="X132" i="1"/>
  <c r="X133" i="1"/>
  <c r="X134" i="1"/>
  <c r="X135" i="1"/>
  <c r="X136" i="1"/>
  <c r="X137" i="1"/>
  <c r="X138" i="1"/>
  <c r="X139" i="1"/>
  <c r="X140" i="1"/>
  <c r="X141" i="1"/>
  <c r="X142" i="1"/>
  <c r="X143" i="1"/>
  <c r="X144" i="1"/>
  <c r="X145" i="1"/>
  <c r="X146" i="1"/>
  <c r="X147" i="1"/>
  <c r="X148" i="1"/>
  <c r="X149" i="1"/>
  <c r="X150" i="1"/>
  <c r="X151" i="1"/>
  <c r="X152" i="1"/>
  <c r="X153" i="1"/>
  <c r="X154" i="1"/>
  <c r="X155" i="1"/>
  <c r="X156" i="1"/>
  <c r="X157" i="1"/>
  <c r="X158" i="1"/>
  <c r="X159" i="1"/>
  <c r="X160" i="1"/>
  <c r="X161" i="1"/>
  <c r="X162" i="1"/>
  <c r="X163" i="1"/>
  <c r="X164" i="1"/>
  <c r="X165" i="1"/>
  <c r="X166" i="1"/>
  <c r="X167" i="1"/>
  <c r="X168" i="1"/>
  <c r="X169" i="1"/>
  <c r="X170" i="1"/>
  <c r="X171" i="1"/>
  <c r="X172" i="1"/>
  <c r="X173" i="1"/>
  <c r="X174" i="1"/>
  <c r="X175" i="1"/>
  <c r="X176" i="1"/>
  <c r="X177" i="1"/>
  <c r="X178" i="1"/>
  <c r="X179" i="1"/>
  <c r="X180" i="1"/>
  <c r="X181" i="1"/>
  <c r="X182" i="1"/>
  <c r="X183" i="1"/>
  <c r="X184" i="1"/>
  <c r="X185" i="1"/>
  <c r="X186" i="1"/>
  <c r="X187" i="1"/>
  <c r="X188" i="1"/>
  <c r="X189" i="1"/>
  <c r="X190" i="1"/>
  <c r="X191" i="1"/>
  <c r="X192" i="1"/>
  <c r="X193" i="1"/>
  <c r="X194" i="1"/>
  <c r="X195" i="1"/>
  <c r="X196" i="1"/>
  <c r="X197" i="1"/>
  <c r="X198" i="1"/>
  <c r="X199" i="1"/>
  <c r="X200" i="1"/>
  <c r="X201" i="1"/>
  <c r="X202" i="1"/>
  <c r="X203" i="1"/>
  <c r="X204" i="1"/>
  <c r="X205" i="1"/>
  <c r="X206" i="1"/>
  <c r="X207" i="1"/>
  <c r="X208" i="1"/>
  <c r="X209" i="1"/>
  <c r="X210" i="1"/>
  <c r="X211" i="1"/>
  <c r="X212" i="1"/>
  <c r="X213" i="1"/>
  <c r="X214" i="1"/>
  <c r="X215" i="1"/>
  <c r="X216" i="1"/>
  <c r="X217" i="1"/>
  <c r="X218" i="1"/>
  <c r="X219" i="1"/>
  <c r="X220" i="1"/>
  <c r="X221" i="1"/>
  <c r="X222" i="1"/>
  <c r="X223" i="1"/>
  <c r="X224" i="1"/>
  <c r="X225" i="1"/>
  <c r="X226" i="1"/>
  <c r="X227" i="1"/>
  <c r="X228" i="1"/>
  <c r="X229" i="1"/>
  <c r="X230" i="1"/>
  <c r="X231" i="1"/>
  <c r="X232" i="1"/>
  <c r="X233" i="1"/>
  <c r="X234" i="1"/>
  <c r="X235" i="1"/>
  <c r="X236" i="1"/>
  <c r="X237" i="1"/>
  <c r="X238" i="1"/>
  <c r="X239" i="1"/>
  <c r="X240" i="1"/>
  <c r="X241" i="1"/>
  <c r="X242" i="1"/>
  <c r="X243" i="1"/>
  <c r="X244" i="1"/>
  <c r="X245" i="1"/>
  <c r="X246" i="1"/>
  <c r="X247" i="1"/>
  <c r="X248" i="1"/>
  <c r="X249" i="1"/>
  <c r="X250" i="1"/>
  <c r="X251" i="1"/>
  <c r="X252" i="1"/>
  <c r="X253" i="1"/>
  <c r="X254" i="1"/>
  <c r="X255" i="1"/>
  <c r="X256" i="1"/>
  <c r="X257" i="1"/>
  <c r="X258" i="1"/>
  <c r="X259" i="1"/>
  <c r="X260" i="1"/>
  <c r="X261" i="1"/>
  <c r="X262" i="1"/>
  <c r="X263" i="1"/>
  <c r="X264" i="1"/>
  <c r="X265" i="1"/>
  <c r="X266" i="1"/>
  <c r="X267" i="1"/>
  <c r="X268" i="1"/>
  <c r="X269" i="1"/>
  <c r="X270" i="1"/>
  <c r="X271" i="1"/>
  <c r="X272" i="1"/>
  <c r="X273" i="1"/>
  <c r="X274" i="1"/>
  <c r="X275" i="1"/>
  <c r="X276" i="1"/>
  <c r="X277" i="1"/>
  <c r="X278" i="1"/>
  <c r="X279" i="1"/>
  <c r="X280" i="1"/>
  <c r="X281" i="1"/>
  <c r="X282" i="1"/>
  <c r="X283" i="1"/>
  <c r="X284" i="1"/>
  <c r="X285" i="1"/>
  <c r="X286" i="1"/>
  <c r="X287" i="1"/>
  <c r="X288" i="1"/>
  <c r="X289" i="1"/>
  <c r="X290" i="1"/>
  <c r="X291" i="1"/>
  <c r="X292" i="1"/>
  <c r="X293" i="1"/>
  <c r="X294" i="1"/>
  <c r="X295" i="1"/>
  <c r="X296" i="1"/>
  <c r="X297" i="1"/>
  <c r="X298" i="1"/>
  <c r="X299" i="1"/>
  <c r="X300" i="1"/>
  <c r="X301" i="1"/>
  <c r="X302" i="1"/>
  <c r="X303" i="1"/>
  <c r="X304" i="1"/>
  <c r="X305" i="1"/>
  <c r="X306" i="1"/>
  <c r="X307" i="1"/>
  <c r="X308" i="1"/>
  <c r="X309" i="1"/>
  <c r="X310" i="1"/>
  <c r="X311" i="1"/>
  <c r="X312" i="1"/>
  <c r="X313" i="1"/>
  <c r="X314" i="1"/>
  <c r="X315" i="1"/>
  <c r="X316" i="1"/>
  <c r="X317" i="1"/>
  <c r="X318" i="1"/>
  <c r="X319" i="1"/>
  <c r="X320" i="1"/>
  <c r="X321" i="1"/>
  <c r="X322" i="1"/>
  <c r="X323" i="1"/>
  <c r="X324" i="1"/>
  <c r="X325" i="1"/>
  <c r="X326" i="1"/>
  <c r="X327" i="1"/>
  <c r="X328" i="1"/>
  <c r="X329" i="1"/>
  <c r="X330" i="1"/>
  <c r="X331" i="1"/>
  <c r="X332" i="1"/>
  <c r="X333" i="1"/>
  <c r="X334" i="1"/>
  <c r="X335" i="1"/>
  <c r="X336" i="1"/>
  <c r="X337" i="1"/>
  <c r="X338" i="1"/>
  <c r="X339" i="1"/>
  <c r="X340" i="1"/>
  <c r="X341" i="1"/>
  <c r="X342" i="1"/>
  <c r="X343" i="1"/>
  <c r="X344" i="1"/>
  <c r="X345" i="1"/>
  <c r="X346" i="1"/>
  <c r="X347" i="1"/>
  <c r="X348" i="1"/>
  <c r="X349" i="1"/>
  <c r="X350" i="1"/>
  <c r="X351" i="1"/>
  <c r="X352" i="1"/>
  <c r="X353" i="1"/>
  <c r="X354" i="1"/>
  <c r="X355" i="1"/>
  <c r="X356" i="1"/>
  <c r="X357" i="1"/>
  <c r="X358" i="1"/>
  <c r="X359" i="1"/>
  <c r="X360" i="1"/>
  <c r="X361" i="1"/>
  <c r="X362" i="1"/>
  <c r="X363" i="1"/>
  <c r="X364" i="1"/>
  <c r="X365" i="1"/>
  <c r="X366" i="1"/>
  <c r="X367" i="1"/>
  <c r="X368" i="1"/>
  <c r="X369" i="1"/>
  <c r="X370" i="1"/>
  <c r="X371" i="1"/>
  <c r="X372" i="1"/>
  <c r="X373" i="1"/>
  <c r="X374" i="1"/>
  <c r="X375" i="1"/>
  <c r="X376" i="1"/>
  <c r="X377" i="1"/>
  <c r="X378" i="1"/>
  <c r="X379" i="1"/>
  <c r="X380" i="1"/>
  <c r="X381" i="1"/>
  <c r="X382" i="1"/>
  <c r="X383" i="1"/>
  <c r="X384" i="1"/>
  <c r="X385" i="1"/>
  <c r="X386" i="1"/>
  <c r="X387" i="1"/>
  <c r="X388" i="1"/>
  <c r="X389" i="1"/>
  <c r="X390" i="1"/>
  <c r="X391" i="1"/>
  <c r="X392" i="1"/>
  <c r="X393" i="1"/>
  <c r="X394" i="1"/>
  <c r="X395" i="1"/>
  <c r="X396" i="1"/>
  <c r="X397" i="1"/>
  <c r="X398" i="1"/>
  <c r="X399" i="1"/>
  <c r="X400" i="1"/>
  <c r="X401" i="1"/>
  <c r="X402" i="1"/>
  <c r="X403" i="1"/>
  <c r="X404" i="1"/>
  <c r="X405" i="1"/>
  <c r="X406" i="1"/>
  <c r="X407" i="1"/>
  <c r="X408" i="1"/>
  <c r="X409" i="1"/>
  <c r="X410" i="1"/>
  <c r="X411" i="1"/>
  <c r="X412" i="1"/>
  <c r="X413" i="1"/>
  <c r="X414" i="1"/>
  <c r="X415" i="1"/>
  <c r="X416" i="1"/>
  <c r="X417" i="1"/>
  <c r="X418" i="1"/>
  <c r="X419" i="1"/>
  <c r="X420" i="1"/>
  <c r="X421" i="1"/>
  <c r="X422" i="1"/>
  <c r="X423" i="1"/>
  <c r="X424" i="1"/>
  <c r="X425" i="1"/>
  <c r="X426" i="1"/>
  <c r="X427" i="1"/>
  <c r="X428" i="1"/>
  <c r="X429" i="1"/>
  <c r="X430" i="1"/>
  <c r="X431" i="1"/>
  <c r="X432" i="1"/>
  <c r="X433" i="1"/>
  <c r="X434" i="1"/>
  <c r="X435" i="1"/>
  <c r="X436" i="1"/>
  <c r="X437" i="1"/>
  <c r="X438" i="1"/>
  <c r="X439" i="1"/>
  <c r="X440" i="1"/>
  <c r="X441" i="1"/>
  <c r="X442" i="1"/>
  <c r="X443" i="1"/>
  <c r="X444" i="1"/>
  <c r="X445" i="1"/>
  <c r="X446" i="1"/>
  <c r="X447" i="1"/>
  <c r="X448" i="1"/>
  <c r="X449" i="1"/>
  <c r="X450" i="1"/>
  <c r="X451" i="1"/>
  <c r="X452" i="1"/>
  <c r="X453" i="1"/>
  <c r="X454" i="1"/>
  <c r="X455" i="1"/>
  <c r="X456" i="1"/>
  <c r="X457" i="1"/>
  <c r="X458" i="1"/>
  <c r="X459" i="1"/>
  <c r="X460" i="1"/>
  <c r="X461" i="1"/>
  <c r="X462" i="1"/>
  <c r="X463" i="1"/>
  <c r="X464" i="1"/>
  <c r="X465" i="1"/>
  <c r="X466" i="1"/>
  <c r="X467" i="1"/>
  <c r="X468" i="1"/>
  <c r="X469" i="1"/>
  <c r="X470" i="1"/>
  <c r="X471" i="1"/>
  <c r="X472" i="1"/>
  <c r="X473" i="1"/>
  <c r="X474" i="1"/>
  <c r="X475" i="1"/>
  <c r="X476" i="1"/>
  <c r="X477" i="1"/>
  <c r="X478" i="1"/>
  <c r="X479" i="1"/>
  <c r="X480" i="1"/>
  <c r="X481" i="1"/>
  <c r="X482" i="1"/>
  <c r="X483" i="1"/>
  <c r="X484" i="1"/>
  <c r="X485" i="1"/>
  <c r="X486" i="1"/>
  <c r="X487" i="1"/>
  <c r="X488" i="1"/>
  <c r="X489" i="1"/>
  <c r="X490" i="1"/>
  <c r="X491" i="1"/>
  <c r="X492" i="1"/>
  <c r="X493" i="1"/>
  <c r="X494" i="1"/>
  <c r="X495" i="1"/>
  <c r="X496" i="1"/>
  <c r="X497" i="1"/>
  <c r="X498" i="1"/>
  <c r="X499" i="1"/>
  <c r="X500" i="1"/>
  <c r="X501" i="1"/>
  <c r="X502" i="1"/>
  <c r="X503" i="1"/>
  <c r="X504" i="1"/>
  <c r="X505" i="1"/>
  <c r="X506" i="1"/>
  <c r="X507" i="1"/>
  <c r="X508" i="1"/>
  <c r="X509" i="1"/>
  <c r="X510" i="1"/>
  <c r="X511" i="1"/>
  <c r="X512" i="1"/>
  <c r="X513" i="1"/>
  <c r="X514" i="1"/>
  <c r="X515" i="1"/>
  <c r="X516" i="1"/>
  <c r="X517" i="1"/>
  <c r="X518" i="1"/>
  <c r="X519" i="1"/>
  <c r="X520" i="1"/>
  <c r="X521" i="1"/>
  <c r="X522" i="1"/>
  <c r="X523" i="1"/>
  <c r="X524" i="1"/>
  <c r="X525" i="1"/>
  <c r="X526" i="1"/>
  <c r="X527" i="1"/>
  <c r="X528" i="1"/>
  <c r="X529" i="1"/>
  <c r="X530" i="1"/>
  <c r="X531" i="1"/>
  <c r="X532" i="1"/>
  <c r="X533" i="1"/>
  <c r="X534" i="1"/>
  <c r="X535" i="1"/>
  <c r="X536" i="1"/>
  <c r="X537" i="1"/>
  <c r="X538" i="1"/>
  <c r="X539" i="1"/>
  <c r="X540" i="1"/>
  <c r="X541" i="1"/>
  <c r="X542" i="1"/>
  <c r="X543" i="1"/>
  <c r="X544" i="1"/>
  <c r="X545" i="1"/>
  <c r="X546" i="1"/>
  <c r="X547" i="1"/>
  <c r="X548" i="1"/>
  <c r="X549" i="1"/>
  <c r="X550" i="1"/>
  <c r="X551" i="1"/>
  <c r="X552" i="1"/>
  <c r="X553" i="1"/>
  <c r="X554" i="1"/>
  <c r="X555" i="1"/>
  <c r="X556" i="1"/>
  <c r="X557" i="1"/>
  <c r="X558" i="1"/>
  <c r="X559" i="1"/>
  <c r="X560" i="1"/>
  <c r="X561" i="1"/>
  <c r="X562" i="1"/>
  <c r="X563" i="1"/>
  <c r="X564" i="1"/>
  <c r="X565" i="1"/>
  <c r="X566" i="1"/>
  <c r="X567" i="1"/>
  <c r="X568" i="1"/>
  <c r="X569" i="1"/>
  <c r="X570" i="1"/>
  <c r="X571" i="1"/>
  <c r="X572" i="1"/>
  <c r="X573" i="1"/>
  <c r="X574" i="1"/>
  <c r="X575" i="1"/>
  <c r="X576" i="1"/>
  <c r="X577" i="1"/>
  <c r="X578" i="1"/>
  <c r="X579" i="1"/>
  <c r="X580" i="1"/>
  <c r="X581" i="1"/>
  <c r="X582" i="1"/>
  <c r="X583" i="1"/>
  <c r="X584" i="1"/>
  <c r="X585" i="1"/>
  <c r="X586" i="1"/>
  <c r="X587" i="1"/>
  <c r="X588" i="1"/>
  <c r="X589" i="1"/>
  <c r="X590" i="1"/>
  <c r="X591" i="1"/>
  <c r="X592" i="1"/>
  <c r="X593" i="1"/>
  <c r="X594" i="1"/>
  <c r="X595" i="1"/>
  <c r="X596" i="1"/>
  <c r="X597" i="1"/>
  <c r="X598" i="1"/>
  <c r="X599" i="1"/>
  <c r="X600" i="1"/>
  <c r="X601" i="1"/>
  <c r="X602" i="1"/>
  <c r="X603" i="1"/>
  <c r="X604" i="1"/>
  <c r="X605" i="1"/>
  <c r="X606" i="1"/>
  <c r="X607" i="1"/>
  <c r="X608" i="1"/>
  <c r="X609" i="1"/>
  <c r="X610" i="1"/>
  <c r="X611" i="1"/>
  <c r="X612" i="1"/>
  <c r="X613" i="1"/>
  <c r="X614" i="1"/>
  <c r="X615" i="1"/>
  <c r="X616" i="1"/>
  <c r="X617" i="1"/>
  <c r="X618" i="1"/>
  <c r="X619" i="1"/>
  <c r="X620" i="1"/>
  <c r="X621" i="1"/>
  <c r="X622" i="1"/>
  <c r="X623" i="1"/>
  <c r="X624" i="1"/>
  <c r="X625" i="1"/>
  <c r="X626" i="1"/>
  <c r="X627" i="1"/>
  <c r="X628" i="1"/>
  <c r="X629" i="1"/>
  <c r="X630" i="1"/>
  <c r="X631" i="1"/>
  <c r="X632" i="1"/>
  <c r="X633" i="1"/>
  <c r="X634" i="1"/>
  <c r="X635" i="1"/>
  <c r="X636" i="1"/>
  <c r="X637" i="1"/>
  <c r="X638" i="1"/>
  <c r="X639" i="1"/>
  <c r="X640" i="1"/>
  <c r="X641" i="1"/>
  <c r="X642" i="1"/>
  <c r="X643" i="1"/>
  <c r="X644" i="1"/>
  <c r="X645" i="1"/>
  <c r="X646" i="1"/>
  <c r="X647" i="1"/>
  <c r="X648" i="1"/>
  <c r="X649" i="1"/>
  <c r="X650" i="1"/>
  <c r="X651" i="1"/>
  <c r="X652" i="1"/>
  <c r="X653" i="1"/>
  <c r="X654" i="1"/>
  <c r="X655" i="1"/>
  <c r="X656" i="1"/>
  <c r="X657" i="1"/>
  <c r="X658" i="1"/>
  <c r="X659" i="1"/>
  <c r="X660" i="1"/>
  <c r="X661" i="1"/>
  <c r="X662" i="1"/>
  <c r="X663" i="1"/>
  <c r="X664" i="1"/>
  <c r="X665" i="1"/>
  <c r="X666" i="1"/>
  <c r="X667" i="1"/>
  <c r="X668" i="1"/>
  <c r="X669" i="1"/>
  <c r="X670" i="1"/>
  <c r="X671" i="1"/>
  <c r="X672" i="1"/>
  <c r="X673" i="1"/>
  <c r="X674" i="1"/>
  <c r="X675" i="1"/>
  <c r="X676" i="1"/>
  <c r="X677" i="1"/>
  <c r="X678" i="1"/>
  <c r="X679" i="1"/>
  <c r="X680" i="1"/>
  <c r="X681" i="1"/>
  <c r="X682" i="1"/>
  <c r="X683" i="1"/>
  <c r="X684" i="1"/>
  <c r="X685" i="1"/>
  <c r="X686" i="1"/>
  <c r="X687" i="1"/>
  <c r="X688" i="1"/>
  <c r="X689" i="1"/>
  <c r="X690" i="1"/>
  <c r="X691" i="1"/>
  <c r="X692" i="1"/>
  <c r="X693" i="1"/>
  <c r="X694" i="1"/>
  <c r="X695" i="1"/>
  <c r="X696" i="1"/>
  <c r="X697" i="1"/>
  <c r="X698" i="1"/>
  <c r="X699" i="1"/>
  <c r="X700" i="1"/>
  <c r="X701" i="1"/>
  <c r="X702" i="1"/>
  <c r="X703" i="1"/>
  <c r="X704" i="1"/>
  <c r="X705" i="1"/>
  <c r="X706" i="1"/>
  <c r="X707" i="1"/>
  <c r="X708" i="1"/>
  <c r="X709" i="1"/>
  <c r="X710" i="1"/>
  <c r="X711" i="1"/>
  <c r="X712" i="1"/>
  <c r="X713" i="1"/>
  <c r="X714" i="1"/>
  <c r="X715" i="1"/>
  <c r="X716" i="1"/>
  <c r="X717" i="1"/>
  <c r="X718" i="1"/>
  <c r="X719" i="1"/>
  <c r="X720" i="1"/>
  <c r="X721" i="1"/>
  <c r="X722" i="1"/>
  <c r="X723" i="1"/>
  <c r="X724" i="1"/>
  <c r="X725" i="1"/>
  <c r="X726" i="1"/>
  <c r="X727" i="1"/>
  <c r="X728" i="1"/>
  <c r="X729" i="1"/>
  <c r="X730" i="1"/>
  <c r="X731" i="1"/>
  <c r="X732" i="1"/>
  <c r="X733" i="1"/>
  <c r="X734" i="1"/>
  <c r="X735" i="1"/>
  <c r="X736" i="1"/>
  <c r="X737" i="1"/>
  <c r="X738" i="1"/>
  <c r="X739" i="1"/>
  <c r="X740" i="1"/>
  <c r="X741" i="1"/>
  <c r="X742" i="1"/>
  <c r="X743" i="1"/>
  <c r="X744" i="1"/>
  <c r="X745" i="1"/>
  <c r="X746" i="1"/>
  <c r="X747" i="1"/>
  <c r="X748" i="1"/>
  <c r="X749" i="1"/>
  <c r="X750" i="1"/>
  <c r="X751" i="1"/>
  <c r="X752" i="1"/>
  <c r="X753" i="1"/>
  <c r="X754" i="1"/>
  <c r="X755" i="1"/>
  <c r="X756" i="1"/>
  <c r="X757" i="1"/>
  <c r="X758" i="1"/>
  <c r="X759" i="1"/>
  <c r="X760" i="1"/>
  <c r="X761" i="1"/>
  <c r="X762" i="1"/>
  <c r="X763" i="1"/>
  <c r="X764" i="1"/>
  <c r="X765" i="1"/>
  <c r="X766" i="1"/>
  <c r="X767" i="1"/>
  <c r="X768" i="1"/>
  <c r="X769" i="1"/>
  <c r="X770" i="1"/>
  <c r="X771" i="1"/>
  <c r="X772" i="1"/>
  <c r="X773" i="1"/>
  <c r="X774" i="1"/>
  <c r="X775" i="1"/>
  <c r="X776" i="1"/>
  <c r="X777" i="1"/>
  <c r="X778" i="1"/>
  <c r="X779" i="1"/>
  <c r="X780" i="1"/>
  <c r="X781" i="1"/>
  <c r="X782" i="1"/>
  <c r="X783" i="1"/>
  <c r="X784" i="1"/>
  <c r="X785" i="1"/>
  <c r="X786" i="1"/>
  <c r="X787" i="1"/>
  <c r="X788" i="1"/>
  <c r="X789" i="1"/>
  <c r="X790" i="1"/>
  <c r="X791" i="1"/>
  <c r="X792" i="1"/>
  <c r="X793" i="1"/>
  <c r="X794" i="1"/>
  <c r="X795" i="1"/>
  <c r="X796" i="1"/>
  <c r="X797" i="1"/>
  <c r="X798" i="1"/>
  <c r="X799" i="1"/>
  <c r="X800" i="1"/>
  <c r="X801" i="1"/>
  <c r="X802" i="1"/>
  <c r="X803" i="1"/>
  <c r="X804" i="1"/>
  <c r="X805" i="1"/>
  <c r="X806" i="1"/>
  <c r="X807" i="1"/>
  <c r="X808" i="1"/>
  <c r="X809" i="1"/>
  <c r="X810" i="1"/>
  <c r="X811" i="1"/>
  <c r="X812" i="1"/>
  <c r="X813" i="1"/>
  <c r="X814" i="1"/>
  <c r="X815" i="1"/>
  <c r="X816" i="1"/>
  <c r="X817" i="1"/>
  <c r="X818" i="1"/>
  <c r="X819" i="1"/>
  <c r="X820" i="1"/>
  <c r="X821" i="1"/>
  <c r="X822" i="1"/>
  <c r="X823" i="1"/>
  <c r="X824" i="1"/>
  <c r="X825" i="1"/>
  <c r="X826" i="1"/>
  <c r="X827" i="1"/>
  <c r="X828" i="1"/>
  <c r="X829" i="1"/>
  <c r="X830" i="1"/>
  <c r="X831" i="1"/>
  <c r="X832" i="1"/>
  <c r="X833" i="1"/>
  <c r="X834" i="1"/>
  <c r="X835" i="1"/>
  <c r="X836" i="1"/>
  <c r="X837" i="1"/>
  <c r="X838" i="1"/>
  <c r="X839" i="1"/>
  <c r="X840" i="1"/>
  <c r="X841" i="1"/>
  <c r="X842" i="1"/>
  <c r="X843" i="1"/>
  <c r="X844" i="1"/>
  <c r="X845" i="1"/>
  <c r="X846" i="1"/>
  <c r="X847" i="1"/>
  <c r="X848" i="1"/>
  <c r="X849" i="1"/>
  <c r="X850" i="1"/>
  <c r="X851" i="1"/>
  <c r="X852" i="1"/>
  <c r="X853" i="1"/>
  <c r="X854" i="1"/>
  <c r="X855" i="1"/>
  <c r="X856" i="1"/>
  <c r="X857" i="1"/>
  <c r="X858" i="1"/>
  <c r="X859" i="1"/>
  <c r="X860" i="1"/>
  <c r="X861" i="1"/>
  <c r="X862" i="1"/>
  <c r="X863" i="1"/>
  <c r="X864" i="1"/>
  <c r="X865" i="1"/>
  <c r="X866" i="1"/>
  <c r="X867" i="1"/>
  <c r="X868" i="1"/>
  <c r="X869" i="1"/>
  <c r="X870" i="1"/>
  <c r="X871" i="1"/>
  <c r="X872" i="1"/>
  <c r="X873" i="1"/>
  <c r="X874" i="1"/>
  <c r="X875" i="1"/>
  <c r="X876" i="1"/>
  <c r="X877" i="1"/>
  <c r="X878" i="1"/>
  <c r="X879" i="1"/>
  <c r="X880" i="1"/>
  <c r="X881" i="1"/>
  <c r="X882" i="1"/>
  <c r="X883" i="1"/>
  <c r="X884" i="1"/>
  <c r="X885" i="1"/>
  <c r="X886" i="1"/>
  <c r="X887" i="1"/>
  <c r="X888" i="1"/>
  <c r="X889" i="1"/>
  <c r="X890" i="1"/>
  <c r="X891" i="1"/>
  <c r="X892" i="1"/>
  <c r="X893" i="1"/>
  <c r="X894" i="1"/>
  <c r="X895" i="1"/>
  <c r="X896" i="1"/>
  <c r="X897" i="1"/>
  <c r="X898" i="1"/>
  <c r="X899" i="1"/>
  <c r="X900" i="1"/>
  <c r="X901" i="1"/>
  <c r="X902" i="1"/>
  <c r="X903" i="1"/>
  <c r="X904" i="1"/>
  <c r="X905" i="1"/>
  <c r="X906" i="1"/>
  <c r="X907" i="1"/>
  <c r="X908" i="1"/>
  <c r="X909" i="1"/>
  <c r="X910" i="1"/>
  <c r="X911" i="1"/>
  <c r="X912" i="1"/>
  <c r="X913" i="1"/>
  <c r="X914" i="1"/>
  <c r="X915" i="1"/>
  <c r="X916" i="1"/>
  <c r="X917" i="1"/>
  <c r="X918" i="1"/>
  <c r="X919" i="1"/>
  <c r="X920" i="1"/>
  <c r="X921" i="1"/>
  <c r="X922" i="1"/>
  <c r="X923" i="1"/>
  <c r="X924" i="1"/>
  <c r="X925" i="1"/>
  <c r="X926" i="1"/>
  <c r="X927" i="1"/>
  <c r="X928" i="1"/>
  <c r="X929" i="1"/>
  <c r="X930" i="1"/>
  <c r="X931" i="1"/>
  <c r="X932" i="1"/>
  <c r="X933" i="1"/>
  <c r="X934" i="1"/>
  <c r="X935" i="1"/>
  <c r="X936" i="1"/>
  <c r="X937" i="1"/>
  <c r="X938" i="1"/>
  <c r="X939" i="1"/>
  <c r="X940" i="1"/>
  <c r="X941" i="1"/>
  <c r="X942" i="1"/>
  <c r="X943" i="1"/>
  <c r="X944" i="1"/>
  <c r="X945" i="1"/>
  <c r="X946" i="1"/>
  <c r="X947" i="1"/>
  <c r="X948" i="1"/>
  <c r="X949" i="1"/>
  <c r="X950" i="1"/>
  <c r="X951" i="1"/>
  <c r="X952" i="1"/>
  <c r="X953" i="1"/>
  <c r="X954" i="1"/>
  <c r="X955" i="1"/>
  <c r="X956" i="1"/>
  <c r="X957" i="1"/>
  <c r="X958" i="1"/>
  <c r="X959" i="1"/>
  <c r="X960" i="1"/>
  <c r="X961" i="1"/>
  <c r="X962" i="1"/>
  <c r="X963" i="1"/>
  <c r="X964" i="1"/>
  <c r="X965" i="1"/>
  <c r="X966" i="1"/>
  <c r="X967" i="1"/>
  <c r="X968" i="1"/>
  <c r="X969" i="1"/>
  <c r="X970" i="1"/>
  <c r="X971" i="1"/>
  <c r="X972" i="1"/>
  <c r="X973" i="1"/>
  <c r="X974" i="1"/>
  <c r="X975" i="1"/>
  <c r="X976" i="1"/>
  <c r="X977" i="1"/>
  <c r="X978" i="1"/>
  <c r="X979" i="1"/>
  <c r="X980" i="1"/>
  <c r="X981" i="1"/>
  <c r="X982" i="1"/>
  <c r="X983" i="1"/>
  <c r="X984" i="1"/>
  <c r="X985" i="1"/>
  <c r="X986" i="1"/>
  <c r="X987" i="1"/>
  <c r="X988" i="1"/>
  <c r="X989" i="1"/>
  <c r="X990" i="1"/>
  <c r="X991" i="1"/>
  <c r="X992" i="1"/>
  <c r="X993" i="1"/>
  <c r="X994" i="1"/>
  <c r="X995" i="1"/>
  <c r="X996" i="1"/>
  <c r="X997" i="1"/>
  <c r="X998" i="1"/>
  <c r="X999" i="1"/>
  <c r="X1000" i="1"/>
  <c r="X1001" i="1"/>
  <c r="X1002" i="1"/>
  <c r="X1003" i="1"/>
  <c r="X1004" i="1"/>
  <c r="X1005" i="1"/>
  <c r="X1006" i="1"/>
  <c r="X1007" i="1"/>
  <c r="X1008" i="1"/>
  <c r="X1009" i="1"/>
  <c r="X1010" i="1"/>
  <c r="X1011" i="1"/>
  <c r="X1012" i="1"/>
  <c r="X1013" i="1"/>
  <c r="X1014" i="1"/>
  <c r="X1015" i="1"/>
  <c r="X1016" i="1"/>
  <c r="X1017" i="1"/>
  <c r="X1018" i="1"/>
  <c r="X1019" i="1"/>
  <c r="X1020" i="1"/>
  <c r="X1021" i="1"/>
  <c r="X1022" i="1"/>
  <c r="X1023" i="1"/>
  <c r="X1024" i="1"/>
  <c r="X1025" i="1"/>
  <c r="X1026" i="1"/>
  <c r="X1027" i="1"/>
  <c r="X1028" i="1"/>
  <c r="X1029" i="1"/>
  <c r="X1030" i="1"/>
  <c r="X1031" i="1"/>
  <c r="X1032" i="1"/>
  <c r="X1033" i="1"/>
  <c r="X1034" i="1"/>
  <c r="X1035" i="1"/>
  <c r="X1036" i="1"/>
  <c r="X1037" i="1"/>
  <c r="X1038" i="1"/>
  <c r="X1039" i="1"/>
  <c r="X1040" i="1"/>
  <c r="X1041" i="1"/>
  <c r="X1042" i="1"/>
  <c r="X1043" i="1"/>
  <c r="X1044" i="1"/>
  <c r="X1045" i="1"/>
  <c r="X1046" i="1"/>
  <c r="X1047" i="1"/>
  <c r="X1048" i="1"/>
  <c r="X1049" i="1"/>
  <c r="X1050" i="1"/>
  <c r="X1051" i="1"/>
  <c r="X1052" i="1"/>
  <c r="X1053" i="1"/>
  <c r="X1054" i="1"/>
  <c r="X1055" i="1"/>
  <c r="X1056" i="1"/>
  <c r="X1057" i="1"/>
  <c r="X1058" i="1"/>
  <c r="X1059" i="1"/>
  <c r="X1060" i="1"/>
  <c r="X1061" i="1"/>
  <c r="X1062" i="1"/>
  <c r="X1063" i="1"/>
  <c r="X1064" i="1"/>
  <c r="X1065" i="1"/>
  <c r="X1066" i="1"/>
  <c r="X1067" i="1"/>
  <c r="X1068" i="1"/>
  <c r="X1069" i="1"/>
  <c r="X1070" i="1"/>
  <c r="X1071" i="1"/>
  <c r="X1072" i="1"/>
  <c r="X1073" i="1"/>
  <c r="X1074" i="1"/>
  <c r="X1075" i="1"/>
  <c r="X1076" i="1"/>
  <c r="X1077" i="1"/>
  <c r="X1078" i="1"/>
  <c r="X1079" i="1"/>
  <c r="X1080" i="1"/>
  <c r="X1081" i="1"/>
  <c r="X1082" i="1"/>
  <c r="X1083" i="1"/>
  <c r="X1084" i="1"/>
  <c r="X1085" i="1"/>
  <c r="X1086" i="1"/>
  <c r="X1087" i="1"/>
  <c r="X1088" i="1"/>
  <c r="X1089" i="1"/>
  <c r="X1090" i="1"/>
  <c r="X1091" i="1"/>
  <c r="X1092" i="1"/>
  <c r="X1093" i="1"/>
  <c r="X1094" i="1"/>
  <c r="X1095" i="1"/>
  <c r="X1096" i="1"/>
  <c r="X1097" i="1"/>
  <c r="X1098" i="1"/>
  <c r="X1099" i="1"/>
  <c r="X1100" i="1"/>
  <c r="X1101" i="1"/>
  <c r="X1102" i="1"/>
  <c r="X1103" i="1"/>
  <c r="X1104" i="1"/>
  <c r="X1105" i="1"/>
  <c r="X1106" i="1"/>
  <c r="X1107" i="1"/>
  <c r="X1108" i="1"/>
  <c r="X1109" i="1"/>
  <c r="X1110" i="1"/>
  <c r="X1111" i="1"/>
  <c r="X1112" i="1"/>
  <c r="X1113" i="1"/>
  <c r="X1114" i="1"/>
  <c r="X1115" i="1"/>
  <c r="X1116" i="1"/>
  <c r="X1117" i="1"/>
  <c r="X1118" i="1"/>
  <c r="X1119" i="1"/>
  <c r="X1120" i="1"/>
  <c r="X1121" i="1"/>
  <c r="X1122" i="1"/>
  <c r="X1123" i="1"/>
  <c r="X1124" i="1"/>
  <c r="X1125" i="1"/>
  <c r="X1126" i="1"/>
  <c r="X1127" i="1"/>
  <c r="X1128" i="1"/>
  <c r="X1129" i="1"/>
  <c r="X1130" i="1"/>
  <c r="X1131" i="1"/>
  <c r="X1132" i="1"/>
  <c r="X1133" i="1"/>
  <c r="X1134" i="1"/>
  <c r="X1135" i="1"/>
  <c r="X1136" i="1"/>
  <c r="X1137" i="1"/>
  <c r="X1138" i="1"/>
  <c r="X1139" i="1"/>
  <c r="X1140" i="1"/>
  <c r="X1141" i="1"/>
  <c r="X1142" i="1"/>
  <c r="X1143" i="1"/>
  <c r="X1144" i="1"/>
  <c r="X1145" i="1"/>
  <c r="X1146" i="1"/>
  <c r="X1147" i="1"/>
  <c r="X1148" i="1"/>
  <c r="X1149" i="1"/>
  <c r="X1150" i="1"/>
  <c r="X1151" i="1"/>
  <c r="X1152" i="1"/>
  <c r="X1153" i="1"/>
  <c r="X1154" i="1"/>
  <c r="X1155" i="1"/>
  <c r="X1156" i="1"/>
  <c r="X1157" i="1"/>
  <c r="X1158" i="1"/>
  <c r="X1159" i="1"/>
  <c r="X1160" i="1"/>
  <c r="X1161" i="1"/>
  <c r="X1162" i="1"/>
  <c r="X1163" i="1"/>
  <c r="X1164" i="1"/>
  <c r="X1165" i="1"/>
  <c r="X1166" i="1"/>
  <c r="X1167" i="1"/>
  <c r="X1168" i="1"/>
  <c r="X1169" i="1"/>
  <c r="X1170" i="1"/>
  <c r="X1171" i="1"/>
  <c r="X1172" i="1"/>
  <c r="X1173" i="1"/>
  <c r="X1174" i="1"/>
  <c r="X1175" i="1"/>
  <c r="X1176" i="1"/>
  <c r="X1177" i="1"/>
  <c r="X1178" i="1"/>
  <c r="X1179" i="1"/>
  <c r="X1180" i="1"/>
  <c r="X1181" i="1"/>
  <c r="X1182" i="1"/>
  <c r="X1183" i="1"/>
  <c r="X1184" i="1"/>
  <c r="X1185" i="1"/>
  <c r="X1186" i="1"/>
  <c r="X1187" i="1"/>
  <c r="X1188" i="1"/>
  <c r="X1189" i="1"/>
  <c r="X1190" i="1"/>
  <c r="X1191" i="1"/>
  <c r="X1192" i="1"/>
  <c r="X1193" i="1"/>
  <c r="X1194" i="1"/>
  <c r="X1195" i="1"/>
  <c r="X1196" i="1"/>
  <c r="X1197" i="1"/>
  <c r="X1198" i="1"/>
  <c r="X1199" i="1"/>
  <c r="X1200" i="1"/>
  <c r="X1201" i="1"/>
  <c r="X1202" i="1"/>
  <c r="X1203" i="1"/>
  <c r="X1204" i="1"/>
  <c r="X1205" i="1"/>
  <c r="X1206" i="1"/>
  <c r="X1207" i="1"/>
  <c r="X1208" i="1"/>
  <c r="X1209" i="1"/>
  <c r="X1210" i="1"/>
  <c r="X1211" i="1"/>
  <c r="X1212" i="1"/>
  <c r="X1213" i="1"/>
  <c r="X1214" i="1"/>
  <c r="X1215" i="1"/>
  <c r="X1216" i="1"/>
  <c r="X1217" i="1"/>
  <c r="X1218" i="1"/>
  <c r="X1219" i="1"/>
  <c r="X1220" i="1"/>
  <c r="X1221" i="1"/>
  <c r="X1222" i="1"/>
  <c r="X1223" i="1"/>
  <c r="X1224" i="1"/>
  <c r="X1225" i="1"/>
  <c r="X1226" i="1"/>
  <c r="X1227" i="1"/>
  <c r="X1228" i="1"/>
  <c r="X1229" i="1"/>
  <c r="X1230" i="1"/>
  <c r="X1231" i="1"/>
  <c r="X1232" i="1"/>
  <c r="X1233" i="1"/>
  <c r="X1234" i="1"/>
  <c r="X1235" i="1"/>
  <c r="X1236" i="1"/>
  <c r="X1237" i="1"/>
  <c r="X1238" i="1"/>
  <c r="X1239" i="1"/>
  <c r="X1240" i="1"/>
  <c r="X1241" i="1"/>
  <c r="X1242" i="1"/>
  <c r="X1243" i="1"/>
  <c r="X1244" i="1"/>
  <c r="X1245" i="1"/>
  <c r="X1246" i="1"/>
  <c r="X1247" i="1"/>
  <c r="X1248" i="1"/>
  <c r="X1249" i="1"/>
  <c r="X1250" i="1"/>
  <c r="X1251" i="1"/>
  <c r="X1252" i="1"/>
  <c r="X1253" i="1"/>
  <c r="X1254" i="1"/>
  <c r="X1255" i="1"/>
  <c r="X1256" i="1"/>
  <c r="X1257" i="1"/>
  <c r="X1258" i="1"/>
  <c r="X1259" i="1"/>
  <c r="X1260" i="1"/>
  <c r="X1261" i="1"/>
  <c r="X1262" i="1"/>
  <c r="X1263" i="1"/>
  <c r="X1264" i="1"/>
  <c r="X1265" i="1"/>
  <c r="X1266" i="1"/>
  <c r="X1267" i="1"/>
  <c r="X1268" i="1"/>
  <c r="X1269" i="1"/>
  <c r="X1270" i="1"/>
  <c r="X1271" i="1"/>
  <c r="X1272" i="1"/>
  <c r="X1273" i="1"/>
  <c r="X1274" i="1"/>
  <c r="X1275" i="1"/>
  <c r="X1276" i="1"/>
  <c r="X1277" i="1"/>
  <c r="X1278" i="1"/>
  <c r="X1279" i="1"/>
  <c r="X1280" i="1"/>
  <c r="X1281" i="1"/>
  <c r="X1282" i="1"/>
  <c r="X1283" i="1"/>
  <c r="X1284" i="1"/>
  <c r="X1285" i="1"/>
  <c r="X1286" i="1"/>
  <c r="X1287" i="1"/>
  <c r="X1288" i="1"/>
  <c r="X1289" i="1"/>
  <c r="X1290" i="1"/>
  <c r="X1291" i="1"/>
  <c r="X1292" i="1"/>
  <c r="X1293" i="1"/>
  <c r="X1294" i="1"/>
  <c r="X1295" i="1"/>
  <c r="X1296" i="1"/>
  <c r="X1297" i="1"/>
  <c r="X1298" i="1"/>
  <c r="X1299" i="1"/>
  <c r="X1300" i="1"/>
  <c r="X1301" i="1"/>
  <c r="X1302" i="1"/>
  <c r="X1303" i="1"/>
  <c r="X1304" i="1"/>
  <c r="X1305" i="1"/>
  <c r="X1306" i="1"/>
  <c r="X1307" i="1"/>
  <c r="X1308" i="1"/>
  <c r="X1309" i="1"/>
  <c r="X1310" i="1"/>
  <c r="X1311" i="1"/>
  <c r="X1312" i="1"/>
  <c r="X1313" i="1"/>
  <c r="X1314" i="1"/>
  <c r="X1315" i="1"/>
  <c r="X1316" i="1"/>
  <c r="X1317" i="1"/>
  <c r="X1318" i="1"/>
  <c r="X1319" i="1"/>
  <c r="X1320" i="1"/>
  <c r="X1321" i="1"/>
  <c r="X1322" i="1"/>
  <c r="X1323" i="1"/>
  <c r="X1324" i="1"/>
  <c r="X1325" i="1"/>
  <c r="X1326" i="1"/>
  <c r="X1327" i="1"/>
  <c r="X1328" i="1"/>
  <c r="X1329" i="1"/>
  <c r="X1330" i="1"/>
  <c r="X1331" i="1"/>
  <c r="X1332" i="1"/>
  <c r="X1333" i="1"/>
  <c r="X1334" i="1"/>
  <c r="X1335" i="1"/>
  <c r="X1336" i="1"/>
  <c r="X1337" i="1"/>
  <c r="X1338" i="1"/>
  <c r="X1339" i="1"/>
  <c r="X1340" i="1"/>
  <c r="X1341" i="1"/>
  <c r="X1342" i="1"/>
  <c r="X1343" i="1"/>
  <c r="X1344" i="1"/>
  <c r="X1345" i="1"/>
  <c r="X1346" i="1"/>
  <c r="X1347" i="1"/>
  <c r="X1348" i="1"/>
  <c r="X1349" i="1"/>
  <c r="X1350" i="1"/>
  <c r="X1351" i="1"/>
  <c r="X1352" i="1"/>
  <c r="X1353" i="1"/>
  <c r="X1354" i="1"/>
  <c r="X1355" i="1"/>
  <c r="X1356" i="1"/>
  <c r="X1357" i="1"/>
  <c r="X1358" i="1"/>
  <c r="X1359" i="1"/>
  <c r="X1360" i="1"/>
  <c r="X1361" i="1"/>
  <c r="X1362" i="1"/>
  <c r="X1363" i="1"/>
  <c r="X1364" i="1"/>
  <c r="X1365" i="1"/>
  <c r="X1366" i="1"/>
  <c r="X1367" i="1"/>
  <c r="X1368" i="1"/>
  <c r="X1369" i="1"/>
  <c r="X1370" i="1"/>
  <c r="X1371" i="1"/>
  <c r="X1372" i="1"/>
  <c r="X1373" i="1"/>
  <c r="X1374" i="1"/>
  <c r="X1375" i="1"/>
  <c r="X1376" i="1"/>
  <c r="X1377" i="1"/>
  <c r="X1378" i="1"/>
  <c r="X1379" i="1"/>
  <c r="X1380" i="1"/>
  <c r="X1381" i="1"/>
  <c r="X1382" i="1"/>
  <c r="X1383" i="1"/>
  <c r="X1384" i="1"/>
  <c r="X1385" i="1"/>
  <c r="X1386" i="1"/>
  <c r="X1387" i="1"/>
  <c r="X1388" i="1"/>
  <c r="X1389" i="1"/>
  <c r="X1390" i="1"/>
  <c r="X1391" i="1"/>
  <c r="X1392" i="1"/>
  <c r="X1393" i="1"/>
  <c r="X1394" i="1"/>
  <c r="X1395" i="1"/>
  <c r="X1396" i="1"/>
  <c r="X1397" i="1"/>
  <c r="X1398" i="1"/>
  <c r="X1399" i="1"/>
  <c r="X1400" i="1"/>
  <c r="X1401" i="1"/>
  <c r="X1402" i="1"/>
  <c r="X1403" i="1"/>
  <c r="X1404" i="1"/>
  <c r="X1405" i="1"/>
  <c r="X1406" i="1"/>
  <c r="X1407" i="1"/>
  <c r="X1408" i="1"/>
  <c r="X1409" i="1"/>
  <c r="X1410" i="1"/>
  <c r="X1411" i="1"/>
  <c r="X1412" i="1"/>
  <c r="X1413" i="1"/>
  <c r="X1414" i="1"/>
  <c r="X1415" i="1"/>
  <c r="X1416" i="1"/>
  <c r="X1417" i="1"/>
  <c r="X1418" i="1"/>
  <c r="X1419" i="1"/>
  <c r="X1420" i="1"/>
  <c r="X1421" i="1"/>
  <c r="X1422" i="1"/>
  <c r="X1423" i="1"/>
  <c r="X1424" i="1"/>
  <c r="X1425" i="1"/>
  <c r="X1426" i="1"/>
  <c r="X1427" i="1"/>
  <c r="X1428" i="1"/>
  <c r="X1429" i="1"/>
  <c r="X1430" i="1"/>
  <c r="X1431" i="1"/>
  <c r="X1432" i="1"/>
  <c r="X1433" i="1"/>
  <c r="X1434" i="1"/>
  <c r="X1435" i="1"/>
  <c r="X1436" i="1"/>
  <c r="X1437" i="1"/>
  <c r="X1438" i="1"/>
  <c r="X1439" i="1"/>
  <c r="X1440" i="1"/>
  <c r="X1441" i="1"/>
  <c r="X1442" i="1"/>
  <c r="X1443" i="1"/>
  <c r="X1444" i="1"/>
  <c r="X1445" i="1"/>
  <c r="X1446" i="1"/>
  <c r="X1447" i="1"/>
  <c r="X1448" i="1"/>
  <c r="X1449" i="1"/>
  <c r="X1450" i="1"/>
  <c r="X1451" i="1"/>
  <c r="X1452" i="1"/>
  <c r="X1453" i="1"/>
  <c r="X1454" i="1"/>
  <c r="X1455" i="1"/>
  <c r="X1456" i="1"/>
  <c r="X1457" i="1"/>
  <c r="X1458" i="1"/>
  <c r="X1459" i="1"/>
  <c r="X1460" i="1"/>
  <c r="X1461" i="1"/>
  <c r="X1462" i="1"/>
  <c r="X1463" i="1"/>
  <c r="X1464" i="1"/>
  <c r="X1465" i="1"/>
  <c r="X1466" i="1"/>
  <c r="X1467" i="1"/>
  <c r="X1468" i="1"/>
  <c r="X1469" i="1"/>
  <c r="X1470" i="1"/>
  <c r="X1471" i="1"/>
  <c r="X1472" i="1"/>
  <c r="X1473" i="1"/>
  <c r="X1474" i="1"/>
  <c r="X1475" i="1"/>
  <c r="X1476" i="1"/>
  <c r="X1477" i="1"/>
  <c r="X1478" i="1"/>
  <c r="X1479" i="1"/>
  <c r="X1480" i="1"/>
  <c r="X1481" i="1"/>
  <c r="X1482" i="1"/>
  <c r="X1483" i="1"/>
  <c r="X1484" i="1"/>
  <c r="X1485" i="1"/>
  <c r="X1486" i="1"/>
  <c r="X1487" i="1"/>
  <c r="X1488" i="1"/>
  <c r="X1489" i="1"/>
  <c r="X1490" i="1"/>
  <c r="X1491" i="1"/>
  <c r="X1492" i="1"/>
  <c r="X1493" i="1"/>
  <c r="X1494" i="1"/>
  <c r="X1495" i="1"/>
  <c r="X1496" i="1"/>
  <c r="X1497" i="1"/>
  <c r="X1498" i="1"/>
  <c r="X1499" i="1"/>
  <c r="X1500" i="1"/>
  <c r="X1501" i="1"/>
  <c r="X1502" i="1"/>
  <c r="X1503" i="1"/>
  <c r="X1504" i="1"/>
  <c r="X1505" i="1"/>
  <c r="X1506" i="1"/>
  <c r="X1507" i="1"/>
  <c r="X1508" i="1"/>
  <c r="X1509" i="1"/>
  <c r="X1510" i="1"/>
  <c r="X1511" i="1"/>
  <c r="X1512" i="1"/>
  <c r="X1513" i="1"/>
  <c r="X1514" i="1"/>
  <c r="X1515" i="1"/>
  <c r="X1516" i="1"/>
  <c r="X1517" i="1"/>
  <c r="X1518" i="1"/>
  <c r="X1519" i="1"/>
  <c r="X1520" i="1"/>
  <c r="X1521" i="1"/>
  <c r="X1522" i="1"/>
  <c r="X1523" i="1"/>
  <c r="X1524" i="1"/>
  <c r="X1525" i="1"/>
  <c r="X1526" i="1"/>
  <c r="X1527" i="1"/>
  <c r="X1528" i="1"/>
  <c r="X1529" i="1"/>
  <c r="X1530" i="1"/>
  <c r="X1531" i="1"/>
  <c r="X1532" i="1"/>
  <c r="X1533" i="1"/>
  <c r="X1534" i="1"/>
  <c r="X1535" i="1"/>
  <c r="X1536" i="1"/>
  <c r="X1537" i="1"/>
  <c r="X1538" i="1"/>
  <c r="X1539" i="1"/>
  <c r="X1540" i="1"/>
  <c r="X1541" i="1"/>
  <c r="X1542" i="1"/>
  <c r="X1543" i="1"/>
  <c r="X1544" i="1"/>
  <c r="X1545" i="1"/>
  <c r="X1546" i="1"/>
  <c r="X1547" i="1"/>
  <c r="X1548" i="1"/>
  <c r="X1549" i="1"/>
  <c r="X1550" i="1"/>
  <c r="X1551" i="1"/>
  <c r="X1552" i="1"/>
  <c r="X1553" i="1"/>
  <c r="X1554" i="1"/>
  <c r="X1555" i="1"/>
  <c r="X1556" i="1"/>
  <c r="X1557" i="1"/>
  <c r="X1558" i="1"/>
  <c r="X1559" i="1"/>
  <c r="X1560" i="1"/>
  <c r="X1561" i="1"/>
  <c r="X1562" i="1"/>
  <c r="X1563" i="1"/>
  <c r="X1564" i="1"/>
  <c r="X1565" i="1"/>
  <c r="X1566" i="1"/>
  <c r="X1567" i="1"/>
  <c r="X1568" i="1"/>
  <c r="X1569" i="1"/>
  <c r="X1570" i="1"/>
  <c r="X1571" i="1"/>
  <c r="X1572" i="1"/>
  <c r="X1573" i="1"/>
  <c r="X1574" i="1"/>
  <c r="X1575" i="1"/>
  <c r="X1576" i="1"/>
  <c r="X1577" i="1"/>
  <c r="X1578" i="1"/>
  <c r="X1579" i="1"/>
  <c r="X1580" i="1"/>
  <c r="X1581" i="1"/>
  <c r="X1582" i="1"/>
  <c r="X1583" i="1"/>
  <c r="X1584" i="1"/>
  <c r="X1585" i="1"/>
  <c r="X1586" i="1"/>
  <c r="X1587" i="1"/>
  <c r="X1588" i="1"/>
  <c r="X1589" i="1"/>
  <c r="X1590" i="1"/>
  <c r="X1591" i="1"/>
  <c r="X1592" i="1"/>
  <c r="X1593" i="1"/>
  <c r="X1594" i="1"/>
  <c r="X1595" i="1"/>
  <c r="X1596" i="1"/>
  <c r="X1597" i="1"/>
  <c r="X1598" i="1"/>
  <c r="X1599" i="1"/>
  <c r="X1600" i="1"/>
  <c r="X1601" i="1"/>
  <c r="X1602" i="1"/>
  <c r="X1603" i="1"/>
  <c r="X1604" i="1"/>
  <c r="X1605" i="1"/>
  <c r="X1606" i="1"/>
  <c r="X1607" i="1"/>
  <c r="X1608" i="1"/>
  <c r="X1609" i="1"/>
  <c r="X1610" i="1"/>
  <c r="X1611" i="1"/>
  <c r="X1612" i="1"/>
  <c r="X1613" i="1"/>
  <c r="X1614" i="1"/>
  <c r="X1615" i="1"/>
  <c r="X1616" i="1"/>
  <c r="X1617" i="1"/>
  <c r="X1618" i="1"/>
  <c r="X1619" i="1"/>
  <c r="X1620" i="1"/>
  <c r="X1621" i="1"/>
  <c r="X1622" i="1"/>
  <c r="X1623" i="1"/>
  <c r="X1624" i="1"/>
  <c r="X1625" i="1"/>
  <c r="X1626" i="1"/>
  <c r="X1627" i="1"/>
  <c r="X1628" i="1"/>
  <c r="X1629" i="1"/>
  <c r="X1630" i="1"/>
  <c r="X1631" i="1"/>
  <c r="X1632" i="1"/>
  <c r="X1633" i="1"/>
  <c r="X1634" i="1"/>
  <c r="X1635" i="1"/>
  <c r="X1636" i="1"/>
  <c r="X1637" i="1"/>
  <c r="X1638" i="1"/>
  <c r="X1639" i="1"/>
  <c r="X1640" i="1"/>
  <c r="X1641" i="1"/>
  <c r="X1642" i="1"/>
  <c r="X1643" i="1"/>
  <c r="X1644" i="1"/>
  <c r="X1645" i="1"/>
  <c r="X1646" i="1"/>
  <c r="X1647" i="1"/>
  <c r="X1648" i="1"/>
  <c r="X1649" i="1"/>
  <c r="X1650" i="1"/>
  <c r="X1651" i="1"/>
  <c r="X1652" i="1"/>
  <c r="X1653" i="1"/>
  <c r="X1654" i="1"/>
  <c r="X1655" i="1"/>
  <c r="X1656" i="1"/>
  <c r="X1657" i="1"/>
  <c r="X1658" i="1"/>
  <c r="X1659" i="1"/>
  <c r="X1660" i="1"/>
  <c r="X1661" i="1"/>
  <c r="X1662" i="1"/>
  <c r="X1663" i="1"/>
  <c r="X1664" i="1"/>
  <c r="X1665" i="1"/>
  <c r="X1666" i="1"/>
  <c r="X1667" i="1"/>
  <c r="X1668" i="1"/>
  <c r="X1669" i="1"/>
  <c r="X1670" i="1"/>
  <c r="X1671" i="1"/>
  <c r="X1672" i="1"/>
  <c r="X1673" i="1"/>
  <c r="X1674" i="1"/>
  <c r="X1675" i="1"/>
  <c r="X1676" i="1"/>
  <c r="X1677" i="1"/>
  <c r="X1678" i="1"/>
  <c r="X1679" i="1"/>
  <c r="X1680" i="1"/>
  <c r="X1681" i="1"/>
  <c r="X1682" i="1"/>
  <c r="X1683" i="1"/>
  <c r="X1684" i="1"/>
  <c r="X1685" i="1"/>
  <c r="X1686" i="1"/>
  <c r="X1687" i="1"/>
  <c r="X1688" i="1"/>
  <c r="X1689" i="1"/>
  <c r="X1690" i="1"/>
  <c r="X1691" i="1"/>
  <c r="X1692" i="1"/>
  <c r="X1693" i="1"/>
  <c r="X1694" i="1"/>
  <c r="X1695" i="1"/>
  <c r="X1696" i="1"/>
  <c r="X1697" i="1"/>
  <c r="X1698" i="1"/>
  <c r="X1699" i="1"/>
  <c r="X1700" i="1"/>
  <c r="X1701" i="1"/>
  <c r="X1702" i="1"/>
  <c r="X1703" i="1"/>
  <c r="X1704" i="1"/>
  <c r="X1705" i="1"/>
  <c r="X1706" i="1"/>
  <c r="X1707" i="1"/>
  <c r="X1708" i="1"/>
  <c r="X1709" i="1"/>
  <c r="X1710" i="1"/>
  <c r="X1711" i="1"/>
  <c r="X1712" i="1"/>
  <c r="X1713" i="1"/>
  <c r="X1714" i="1"/>
  <c r="X1715" i="1"/>
  <c r="X1716" i="1"/>
  <c r="X1717" i="1"/>
  <c r="X1718" i="1"/>
  <c r="X1719" i="1"/>
  <c r="X1720" i="1"/>
  <c r="X1721" i="1"/>
  <c r="X1722" i="1"/>
  <c r="X1723" i="1"/>
  <c r="X1724" i="1"/>
  <c r="X1725" i="1"/>
  <c r="X1726" i="1"/>
  <c r="X1727" i="1"/>
  <c r="X1728" i="1"/>
  <c r="X1729" i="1"/>
  <c r="X1730" i="1"/>
  <c r="X1731" i="1"/>
  <c r="X1732" i="1"/>
  <c r="X1733" i="1"/>
  <c r="X1734" i="1"/>
  <c r="X1735" i="1"/>
  <c r="X1736" i="1"/>
  <c r="X1737" i="1"/>
  <c r="X1738" i="1"/>
  <c r="X1739" i="1"/>
  <c r="X1740" i="1"/>
  <c r="X1741" i="1"/>
  <c r="X1742" i="1"/>
  <c r="X1743" i="1"/>
  <c r="X1744" i="1"/>
  <c r="X1745" i="1"/>
  <c r="X1746" i="1"/>
  <c r="X1747" i="1"/>
  <c r="X1748" i="1"/>
  <c r="X1749" i="1"/>
  <c r="X1750" i="1"/>
  <c r="X1751" i="1"/>
  <c r="X1752" i="1"/>
  <c r="X1753" i="1"/>
  <c r="X1754" i="1"/>
  <c r="X1755" i="1"/>
  <c r="X1756" i="1"/>
  <c r="X1757" i="1"/>
  <c r="X1758" i="1"/>
  <c r="X1759" i="1"/>
  <c r="X1760" i="1"/>
  <c r="X1761" i="1"/>
  <c r="X1762" i="1"/>
  <c r="X1763" i="1"/>
  <c r="X1764" i="1"/>
  <c r="X1765" i="1"/>
  <c r="X1766" i="1"/>
  <c r="X1767" i="1"/>
  <c r="X1768" i="1"/>
  <c r="X1769" i="1"/>
  <c r="X1770" i="1"/>
  <c r="X1771" i="1"/>
  <c r="X1772" i="1"/>
  <c r="X1773" i="1"/>
  <c r="X1774" i="1"/>
  <c r="X1775" i="1"/>
  <c r="X1776" i="1"/>
  <c r="X1777" i="1"/>
  <c r="X1778" i="1"/>
  <c r="X1779" i="1"/>
  <c r="X1780" i="1"/>
  <c r="X1781" i="1"/>
  <c r="X1782" i="1"/>
  <c r="X1783" i="1"/>
  <c r="X1784" i="1"/>
  <c r="X1785" i="1"/>
  <c r="X1786" i="1"/>
  <c r="X1787" i="1"/>
  <c r="X1788" i="1"/>
  <c r="X1789" i="1"/>
  <c r="X1790" i="1"/>
  <c r="X1791" i="1"/>
  <c r="X1792" i="1"/>
  <c r="X1793" i="1"/>
  <c r="X1794" i="1"/>
  <c r="X1795" i="1"/>
  <c r="X1796" i="1"/>
  <c r="X1797" i="1"/>
  <c r="X1798" i="1"/>
  <c r="X1799" i="1"/>
  <c r="X1800" i="1"/>
  <c r="X1801" i="1"/>
  <c r="X1802" i="1"/>
  <c r="X1803" i="1"/>
  <c r="X1804" i="1"/>
  <c r="X1805" i="1"/>
  <c r="X1806" i="1"/>
  <c r="X1807" i="1"/>
  <c r="X1808" i="1"/>
  <c r="X1809" i="1"/>
  <c r="X1810" i="1"/>
  <c r="X1811" i="1"/>
  <c r="X1812" i="1"/>
  <c r="X1813" i="1"/>
  <c r="X1814" i="1"/>
  <c r="X1815" i="1"/>
  <c r="X1816" i="1"/>
  <c r="X1817" i="1"/>
  <c r="X1818" i="1"/>
  <c r="X1819" i="1"/>
  <c r="X1820" i="1"/>
  <c r="X1821" i="1"/>
  <c r="X1822" i="1"/>
  <c r="X1823" i="1"/>
  <c r="X1824" i="1"/>
  <c r="X1825" i="1"/>
  <c r="X1826" i="1"/>
  <c r="X1827" i="1"/>
  <c r="X1828" i="1"/>
  <c r="X1829" i="1"/>
  <c r="X1830" i="1"/>
  <c r="X1831" i="1"/>
  <c r="X1832" i="1"/>
  <c r="X1833" i="1"/>
  <c r="X1834" i="1"/>
  <c r="X1835" i="1"/>
  <c r="X1836" i="1"/>
  <c r="X1837" i="1"/>
  <c r="X1838" i="1"/>
  <c r="X1839" i="1"/>
  <c r="X1840" i="1"/>
  <c r="X1841" i="1"/>
  <c r="X1842" i="1"/>
  <c r="X1843" i="1"/>
  <c r="X1844" i="1"/>
  <c r="X1845" i="1"/>
  <c r="X1846" i="1"/>
  <c r="X1847" i="1"/>
  <c r="X1848" i="1"/>
  <c r="X1849" i="1"/>
  <c r="X1850" i="1"/>
  <c r="X1851" i="1"/>
  <c r="X1852" i="1"/>
  <c r="X1853" i="1"/>
  <c r="X1854" i="1"/>
  <c r="X1855" i="1"/>
  <c r="X1856" i="1"/>
  <c r="X1857" i="1"/>
  <c r="X1858" i="1"/>
  <c r="X1859" i="1"/>
  <c r="X1860" i="1"/>
  <c r="X1861" i="1"/>
  <c r="X1862" i="1"/>
  <c r="X1863" i="1"/>
  <c r="X1864" i="1"/>
  <c r="X1865" i="1"/>
  <c r="X1866" i="1"/>
  <c r="X1867" i="1"/>
  <c r="X1868" i="1"/>
  <c r="X1869" i="1"/>
  <c r="X1870" i="1"/>
  <c r="X1871" i="1"/>
  <c r="X1872" i="1"/>
  <c r="X1873" i="1"/>
  <c r="X1874" i="1"/>
  <c r="X1875" i="1"/>
  <c r="X1876" i="1"/>
  <c r="X1877" i="1"/>
  <c r="X1878" i="1"/>
  <c r="X1879" i="1"/>
  <c r="X1880" i="1"/>
  <c r="X1881" i="1"/>
  <c r="X1882" i="1"/>
  <c r="X1883" i="1"/>
  <c r="X1884" i="1"/>
  <c r="X1885" i="1"/>
  <c r="X1886" i="1"/>
  <c r="X1887" i="1"/>
  <c r="X1888" i="1"/>
  <c r="X1889" i="1"/>
  <c r="X1890" i="1"/>
  <c r="X1891" i="1"/>
  <c r="X1892" i="1"/>
  <c r="X1893" i="1"/>
  <c r="X1894" i="1"/>
  <c r="X1895" i="1"/>
  <c r="X1896" i="1"/>
  <c r="X1897" i="1"/>
  <c r="X1898" i="1"/>
  <c r="X1899" i="1"/>
  <c r="X1900" i="1"/>
  <c r="X1901" i="1"/>
  <c r="X1902" i="1"/>
  <c r="X1903" i="1"/>
  <c r="X1904" i="1"/>
  <c r="X1905" i="1"/>
  <c r="X1906" i="1"/>
  <c r="X1907" i="1"/>
  <c r="X1908" i="1"/>
  <c r="X1909" i="1"/>
  <c r="X1910" i="1"/>
  <c r="X1911" i="1"/>
  <c r="X1912" i="1"/>
  <c r="X1913" i="1"/>
  <c r="X1914" i="1"/>
  <c r="X1915" i="1"/>
  <c r="X1916" i="1"/>
  <c r="X1917" i="1"/>
  <c r="X1918" i="1"/>
  <c r="X1919" i="1"/>
  <c r="X1920" i="1"/>
  <c r="X1921" i="1"/>
  <c r="X1922" i="1"/>
  <c r="X1923" i="1"/>
  <c r="X1924" i="1"/>
  <c r="X1925" i="1"/>
  <c r="X1926" i="1"/>
  <c r="X1927" i="1"/>
  <c r="X1928" i="1"/>
  <c r="X1929" i="1"/>
  <c r="X1930" i="1"/>
  <c r="X1931" i="1"/>
  <c r="X1932" i="1"/>
  <c r="X1933" i="1"/>
  <c r="X1934" i="1"/>
  <c r="X1935" i="1"/>
  <c r="X1936" i="1"/>
  <c r="X1937" i="1"/>
  <c r="X1938" i="1"/>
  <c r="X1939" i="1"/>
  <c r="X1940" i="1"/>
  <c r="X1941" i="1"/>
  <c r="X1942" i="1"/>
  <c r="X1943" i="1"/>
  <c r="X1944" i="1"/>
  <c r="X1945" i="1"/>
  <c r="X1946" i="1"/>
  <c r="X1947" i="1"/>
  <c r="X1948" i="1"/>
  <c r="X1949" i="1"/>
  <c r="X1950" i="1"/>
  <c r="X1951" i="1"/>
  <c r="X1952" i="1"/>
  <c r="X1953" i="1"/>
  <c r="X1954" i="1"/>
  <c r="X1955" i="1"/>
  <c r="X1956" i="1"/>
  <c r="X1957" i="1"/>
  <c r="X1958" i="1"/>
  <c r="X1959" i="1"/>
  <c r="X1960" i="1"/>
  <c r="X1961" i="1"/>
  <c r="X1962" i="1"/>
  <c r="X1963" i="1"/>
  <c r="X1964" i="1"/>
  <c r="X1965" i="1"/>
  <c r="X1966" i="1"/>
  <c r="X1967" i="1"/>
  <c r="X1968" i="1"/>
  <c r="X1969" i="1"/>
  <c r="X1970" i="1"/>
  <c r="X1971" i="1"/>
  <c r="X1972" i="1"/>
  <c r="X1973" i="1"/>
  <c r="X1974" i="1"/>
  <c r="X1975" i="1"/>
  <c r="X1976" i="1"/>
  <c r="X1977" i="1"/>
  <c r="X1978" i="1"/>
  <c r="X1979" i="1"/>
  <c r="X1980" i="1"/>
  <c r="X1981" i="1"/>
  <c r="X1982" i="1"/>
  <c r="X1983" i="1"/>
  <c r="X1984" i="1"/>
  <c r="X1985" i="1"/>
  <c r="X1986" i="1"/>
  <c r="X1987" i="1"/>
  <c r="X1988" i="1"/>
  <c r="X1989" i="1"/>
  <c r="X1990" i="1"/>
  <c r="X1991" i="1"/>
  <c r="X1992" i="1"/>
  <c r="X1993" i="1"/>
  <c r="X1994" i="1"/>
  <c r="X1995" i="1"/>
  <c r="X1996" i="1"/>
  <c r="X1997" i="1"/>
  <c r="X1998" i="1"/>
  <c r="X1999" i="1"/>
  <c r="X2000" i="1"/>
  <c r="X2001" i="1"/>
  <c r="X2002" i="1"/>
  <c r="X2003" i="1"/>
  <c r="X2004" i="1"/>
  <c r="X2005" i="1"/>
  <c r="X2006" i="1"/>
  <c r="X2007" i="1"/>
  <c r="X2008" i="1"/>
  <c r="X2009" i="1"/>
  <c r="X2010" i="1"/>
  <c r="X2011" i="1"/>
  <c r="X2012" i="1"/>
  <c r="X2013" i="1"/>
  <c r="X2014" i="1"/>
  <c r="X2015" i="1"/>
  <c r="X2016" i="1"/>
  <c r="X2017" i="1"/>
  <c r="X2018" i="1"/>
  <c r="X2019" i="1"/>
  <c r="X2020" i="1"/>
  <c r="X2021" i="1"/>
  <c r="X2022" i="1"/>
  <c r="X2023" i="1"/>
  <c r="X2024" i="1"/>
  <c r="X2025" i="1"/>
  <c r="X2026" i="1"/>
  <c r="X2027" i="1"/>
  <c r="X2028" i="1"/>
  <c r="X2029" i="1"/>
  <c r="X2030" i="1"/>
  <c r="X2031" i="1"/>
  <c r="X2032" i="1"/>
  <c r="X2033" i="1"/>
  <c r="X2034" i="1"/>
  <c r="X2035" i="1"/>
  <c r="X2036" i="1"/>
  <c r="X2037" i="1"/>
  <c r="X2038" i="1"/>
  <c r="X2039" i="1"/>
  <c r="X2040" i="1"/>
  <c r="X2041" i="1"/>
  <c r="X2042" i="1"/>
  <c r="X2043" i="1"/>
  <c r="X2044" i="1"/>
  <c r="X2045" i="1"/>
  <c r="X2046" i="1"/>
  <c r="X2047" i="1"/>
  <c r="X2048" i="1"/>
  <c r="X2049" i="1"/>
  <c r="X2050" i="1"/>
  <c r="X2051" i="1"/>
  <c r="X2052" i="1"/>
  <c r="X2053" i="1"/>
  <c r="X2054" i="1"/>
  <c r="X2055" i="1"/>
  <c r="X2056" i="1"/>
  <c r="X2057" i="1"/>
  <c r="X2058" i="1"/>
  <c r="X2059" i="1"/>
  <c r="X2060" i="1"/>
  <c r="X2061" i="1"/>
  <c r="X2062" i="1"/>
  <c r="X2063" i="1"/>
  <c r="X2064" i="1"/>
  <c r="X2065" i="1"/>
  <c r="X2066" i="1"/>
  <c r="X2067" i="1"/>
  <c r="X2068" i="1"/>
  <c r="X2069" i="1"/>
  <c r="X2070" i="1"/>
  <c r="X2071" i="1"/>
  <c r="X2072" i="1"/>
  <c r="X2073" i="1"/>
  <c r="X2074" i="1"/>
  <c r="X2075" i="1"/>
  <c r="X2076" i="1"/>
  <c r="X2077" i="1"/>
  <c r="X2078" i="1"/>
  <c r="X2079" i="1"/>
  <c r="X2080" i="1"/>
  <c r="X2081" i="1"/>
  <c r="X2082" i="1"/>
  <c r="X2083" i="1"/>
  <c r="X2084" i="1"/>
  <c r="X2085" i="1"/>
  <c r="X2086" i="1"/>
  <c r="X2087" i="1"/>
  <c r="X2088" i="1"/>
  <c r="X2089" i="1"/>
  <c r="X2090" i="1"/>
  <c r="X2091" i="1"/>
  <c r="X2092" i="1"/>
  <c r="X2093" i="1"/>
  <c r="X2094" i="1"/>
  <c r="X2095" i="1"/>
  <c r="X2096" i="1"/>
  <c r="X2097" i="1"/>
  <c r="X2098" i="1"/>
  <c r="X2099" i="1"/>
  <c r="X2100" i="1"/>
  <c r="X2101" i="1"/>
  <c r="X2102" i="1"/>
  <c r="X2103" i="1"/>
  <c r="X2104" i="1"/>
  <c r="X2105" i="1"/>
  <c r="X2106" i="1"/>
  <c r="X2107" i="1"/>
  <c r="X2108" i="1"/>
  <c r="X2109" i="1"/>
  <c r="X2110" i="1"/>
  <c r="X2111" i="1"/>
  <c r="X2112" i="1"/>
  <c r="X2113" i="1"/>
  <c r="X2114" i="1"/>
  <c r="X2115" i="1"/>
  <c r="X2116" i="1"/>
  <c r="X2117" i="1"/>
  <c r="X2118" i="1"/>
  <c r="X2119" i="1"/>
  <c r="X2120" i="1"/>
  <c r="X2121" i="1"/>
  <c r="X2122" i="1"/>
  <c r="X2123" i="1"/>
  <c r="X2124" i="1"/>
  <c r="X2125" i="1"/>
  <c r="X2126" i="1"/>
  <c r="X2127" i="1"/>
  <c r="X2128" i="1"/>
  <c r="X2129" i="1"/>
  <c r="X2130" i="1"/>
  <c r="X2131" i="1"/>
  <c r="X2132" i="1"/>
  <c r="X2133" i="1"/>
  <c r="X2134" i="1"/>
  <c r="X2135" i="1"/>
  <c r="X2136" i="1"/>
  <c r="X2137" i="1"/>
  <c r="X2138" i="1"/>
  <c r="X2139" i="1"/>
  <c r="X2140" i="1"/>
  <c r="X2141" i="1"/>
  <c r="X2142" i="1"/>
  <c r="X2143" i="1"/>
  <c r="X2144" i="1"/>
  <c r="X2145" i="1"/>
  <c r="X2146" i="1"/>
  <c r="X2147" i="1"/>
  <c r="X2148" i="1"/>
  <c r="X2149" i="1"/>
  <c r="X2150" i="1"/>
  <c r="X2151" i="1"/>
  <c r="X2152" i="1"/>
  <c r="X2153" i="1"/>
  <c r="X2154" i="1"/>
  <c r="X2155" i="1"/>
  <c r="X2156" i="1"/>
  <c r="X2157" i="1"/>
  <c r="X2158" i="1"/>
  <c r="X2159" i="1"/>
  <c r="X2160" i="1"/>
  <c r="X2161" i="1"/>
  <c r="X2162" i="1"/>
  <c r="X2163" i="1"/>
  <c r="X2164" i="1"/>
  <c r="X2165" i="1"/>
  <c r="X2166" i="1"/>
  <c r="X2167" i="1"/>
  <c r="X2168" i="1"/>
  <c r="X2169" i="1"/>
  <c r="X2170" i="1"/>
  <c r="X2171" i="1"/>
  <c r="X2172" i="1"/>
  <c r="X2173" i="1"/>
  <c r="X2174" i="1"/>
  <c r="X2175" i="1"/>
  <c r="X2176" i="1"/>
  <c r="X2177" i="1"/>
  <c r="X2178" i="1"/>
  <c r="X2179" i="1"/>
  <c r="X2180" i="1"/>
  <c r="X2181" i="1"/>
  <c r="X2182" i="1"/>
  <c r="X2183" i="1"/>
  <c r="X2184" i="1"/>
  <c r="X2185" i="1"/>
  <c r="X2186" i="1"/>
  <c r="X2187" i="1"/>
  <c r="X2188" i="1"/>
  <c r="X2189" i="1"/>
  <c r="X2190" i="1"/>
  <c r="X2191" i="1"/>
  <c r="X2192" i="1"/>
  <c r="X2193" i="1"/>
  <c r="X2194" i="1"/>
  <c r="X2195" i="1"/>
  <c r="X2196" i="1"/>
  <c r="X2197" i="1"/>
  <c r="X2198" i="1"/>
  <c r="X2199" i="1"/>
  <c r="X2200" i="1"/>
  <c r="X2201" i="1"/>
  <c r="X2202" i="1"/>
  <c r="X2203" i="1"/>
  <c r="X2204" i="1"/>
  <c r="X2205" i="1"/>
  <c r="X2206" i="1"/>
  <c r="X2207" i="1"/>
  <c r="X2208" i="1"/>
  <c r="X2209" i="1"/>
  <c r="X2210" i="1"/>
  <c r="X2211" i="1"/>
  <c r="X2212" i="1"/>
  <c r="X2213" i="1"/>
  <c r="X2214" i="1"/>
  <c r="X2215" i="1"/>
  <c r="X2216" i="1"/>
  <c r="X2217" i="1"/>
  <c r="X2218" i="1"/>
  <c r="X2219" i="1"/>
  <c r="X2220" i="1"/>
  <c r="X2221" i="1"/>
  <c r="X2222" i="1"/>
  <c r="X2223" i="1"/>
  <c r="X2224" i="1"/>
  <c r="X2225" i="1"/>
  <c r="X2226" i="1"/>
  <c r="X2227" i="1"/>
  <c r="X2228" i="1"/>
  <c r="X2229" i="1"/>
  <c r="X2230" i="1"/>
  <c r="X2231" i="1"/>
  <c r="X2232" i="1"/>
  <c r="X2233" i="1"/>
  <c r="X2234" i="1"/>
  <c r="X2235" i="1"/>
  <c r="X2236" i="1"/>
  <c r="X2237" i="1"/>
  <c r="X2238" i="1"/>
  <c r="X2239" i="1"/>
  <c r="X2240" i="1"/>
  <c r="X2241" i="1"/>
  <c r="X2242" i="1"/>
  <c r="X2243" i="1"/>
  <c r="X2244" i="1"/>
  <c r="X2245" i="1"/>
  <c r="X2246" i="1"/>
  <c r="X2247" i="1"/>
  <c r="X2248" i="1"/>
  <c r="X2249" i="1"/>
  <c r="X2250" i="1"/>
  <c r="X2251" i="1"/>
  <c r="X2252" i="1"/>
  <c r="X2253" i="1"/>
  <c r="X2254" i="1"/>
  <c r="X2255" i="1"/>
  <c r="X2256" i="1"/>
  <c r="X2257" i="1"/>
  <c r="X2258" i="1"/>
  <c r="X2259" i="1"/>
  <c r="X2260" i="1"/>
  <c r="X2261" i="1"/>
  <c r="X2262" i="1"/>
  <c r="X2263" i="1"/>
  <c r="X2264" i="1"/>
  <c r="X2265" i="1"/>
  <c r="X2266" i="1"/>
  <c r="X2267" i="1"/>
  <c r="X2268" i="1"/>
  <c r="X2269" i="1"/>
  <c r="X2270" i="1"/>
  <c r="X2271" i="1"/>
  <c r="X2272" i="1"/>
  <c r="X2273" i="1"/>
  <c r="X2274" i="1"/>
  <c r="X2275" i="1"/>
  <c r="X2276" i="1"/>
  <c r="X2277" i="1"/>
  <c r="X2278" i="1"/>
  <c r="X2279" i="1"/>
  <c r="X2280" i="1"/>
  <c r="X2281" i="1"/>
  <c r="X2282" i="1"/>
  <c r="X2283" i="1"/>
  <c r="X2284" i="1"/>
  <c r="X2285" i="1"/>
  <c r="X2286" i="1"/>
  <c r="X2287" i="1"/>
  <c r="X2288" i="1"/>
  <c r="X2289" i="1"/>
  <c r="X2290" i="1"/>
  <c r="X2291" i="1"/>
  <c r="X2292" i="1"/>
  <c r="X2293" i="1"/>
  <c r="X2294" i="1"/>
  <c r="X2295" i="1"/>
  <c r="X2296" i="1"/>
  <c r="X2297" i="1"/>
  <c r="X2298" i="1"/>
  <c r="X2299" i="1"/>
  <c r="X2300" i="1"/>
  <c r="X2301" i="1"/>
  <c r="X2302" i="1"/>
  <c r="X2303" i="1"/>
  <c r="X2304" i="1"/>
  <c r="X2305" i="1"/>
  <c r="X2306" i="1"/>
  <c r="X2307" i="1"/>
  <c r="X2308" i="1"/>
  <c r="X2309" i="1"/>
  <c r="X2310" i="1"/>
  <c r="X2311" i="1"/>
  <c r="X2312" i="1"/>
  <c r="X2313" i="1"/>
  <c r="X2314" i="1"/>
  <c r="X2315" i="1"/>
  <c r="X2316" i="1"/>
  <c r="X2317" i="1"/>
  <c r="X2318" i="1"/>
  <c r="X2319" i="1"/>
  <c r="X2320" i="1"/>
  <c r="X2321" i="1"/>
  <c r="X2322" i="1"/>
  <c r="X2323" i="1"/>
  <c r="X2324" i="1"/>
  <c r="X2325" i="1"/>
  <c r="X2326" i="1"/>
  <c r="X2327" i="1"/>
  <c r="X2328" i="1"/>
  <c r="X2329" i="1"/>
  <c r="X2330" i="1"/>
  <c r="X2331" i="1"/>
  <c r="X2332" i="1"/>
  <c r="X2333" i="1"/>
  <c r="X2334" i="1"/>
  <c r="X2335" i="1"/>
  <c r="X2336" i="1"/>
  <c r="X2337" i="1"/>
  <c r="X2338" i="1"/>
  <c r="X2339" i="1"/>
  <c r="X2340" i="1"/>
  <c r="X2341" i="1"/>
  <c r="X2342" i="1"/>
  <c r="X2343" i="1"/>
  <c r="X2344" i="1"/>
  <c r="X2345" i="1"/>
  <c r="X2346" i="1"/>
  <c r="X2347" i="1"/>
  <c r="X2348" i="1"/>
  <c r="X2349" i="1"/>
  <c r="X2350" i="1"/>
  <c r="X2351" i="1"/>
  <c r="X2352" i="1"/>
  <c r="X2353" i="1"/>
  <c r="X2354" i="1"/>
  <c r="X2355" i="1"/>
  <c r="X2356" i="1"/>
  <c r="X2357" i="1"/>
  <c r="X2358" i="1"/>
  <c r="X2359" i="1"/>
  <c r="X2360" i="1"/>
  <c r="X2361" i="1"/>
  <c r="X2362" i="1"/>
  <c r="X2363" i="1"/>
  <c r="X2364" i="1"/>
  <c r="X2365" i="1"/>
  <c r="X2366" i="1"/>
  <c r="X2367" i="1"/>
  <c r="X2368" i="1"/>
  <c r="X2369" i="1"/>
  <c r="X2370" i="1"/>
  <c r="X2371" i="1"/>
  <c r="X2372" i="1"/>
  <c r="X2373" i="1"/>
  <c r="X2374" i="1"/>
  <c r="X2375" i="1"/>
  <c r="X2376" i="1"/>
  <c r="X2377" i="1"/>
  <c r="X2378" i="1"/>
  <c r="X2379" i="1"/>
  <c r="X2380" i="1"/>
  <c r="X2381" i="1"/>
  <c r="X2382" i="1"/>
  <c r="X2383" i="1"/>
  <c r="X2384" i="1"/>
  <c r="X2385" i="1"/>
  <c r="X2386" i="1"/>
  <c r="X2387" i="1"/>
  <c r="X2388" i="1"/>
  <c r="X2389" i="1"/>
  <c r="X2390" i="1"/>
  <c r="X2391" i="1"/>
  <c r="X2392" i="1"/>
  <c r="X2393" i="1"/>
  <c r="X2394" i="1"/>
  <c r="X2395" i="1"/>
  <c r="X2396" i="1"/>
  <c r="X2397" i="1"/>
  <c r="X2398" i="1"/>
  <c r="X2399" i="1"/>
  <c r="X2400" i="1"/>
  <c r="X2401" i="1"/>
  <c r="X2402" i="1"/>
  <c r="X2403" i="1"/>
  <c r="X2404" i="1"/>
  <c r="X2405" i="1"/>
  <c r="X2406" i="1"/>
  <c r="X2407" i="1"/>
  <c r="X2408" i="1"/>
  <c r="X2409" i="1"/>
  <c r="X2410" i="1"/>
  <c r="X2411" i="1"/>
  <c r="X2412" i="1"/>
  <c r="X2413" i="1"/>
  <c r="X2414" i="1"/>
  <c r="X2415" i="1"/>
  <c r="X2416" i="1"/>
  <c r="X2417" i="1"/>
  <c r="X2418" i="1"/>
  <c r="X2419" i="1"/>
  <c r="X2420" i="1"/>
  <c r="X2421" i="1"/>
  <c r="X2422" i="1"/>
  <c r="X2423" i="1"/>
  <c r="X2424" i="1"/>
  <c r="X2425" i="1"/>
  <c r="X2426" i="1"/>
  <c r="X2427" i="1"/>
  <c r="X2428" i="1"/>
  <c r="X7" i="1"/>
  <c r="Z7" i="1"/>
  <c r="Y7" i="1"/>
  <c r="R2438" i="1"/>
  <c r="Q2438" i="1"/>
  <c r="T2434" i="1"/>
  <c r="S2434" i="1"/>
  <c r="R2434" i="1"/>
  <c r="Q2434" i="1"/>
  <c r="Q412" i="6"/>
  <c r="Q415" i="6"/>
  <c r="Q416" i="6"/>
  <c r="Q417" i="6"/>
  <c r="Q418" i="6"/>
  <c r="Q419" i="6"/>
  <c r="Q421" i="6"/>
  <c r="Q423" i="6"/>
  <c r="Q425" i="6"/>
  <c r="Q426" i="6"/>
  <c r="Q427" i="6"/>
  <c r="Q387" i="6"/>
  <c r="Q388" i="6"/>
  <c r="Q391" i="6"/>
  <c r="Q392" i="6"/>
  <c r="Q393" i="6"/>
  <c r="Q394" i="6"/>
  <c r="Q395" i="6"/>
  <c r="Q397" i="6"/>
  <c r="Q399" i="6"/>
  <c r="Q400" i="6"/>
  <c r="Q401" i="6"/>
  <c r="Q402" i="6"/>
  <c r="Q403" i="6"/>
  <c r="Q404" i="6"/>
  <c r="Q364" i="6"/>
  <c r="Q367" i="6"/>
  <c r="Q368" i="6"/>
  <c r="Q369" i="6"/>
  <c r="Q370" i="6"/>
  <c r="Q371" i="6"/>
  <c r="Q375" i="6"/>
  <c r="Q376" i="6"/>
  <c r="Q377" i="6"/>
  <c r="Q379" i="6"/>
  <c r="Q340" i="6"/>
  <c r="Q343" i="6"/>
  <c r="Q344" i="6"/>
  <c r="Q345" i="6"/>
  <c r="Q346" i="6"/>
  <c r="Q347" i="6"/>
  <c r="Q351" i="6"/>
  <c r="Q352" i="6"/>
  <c r="Q353" i="6"/>
  <c r="Q355" i="6"/>
  <c r="Q316" i="6"/>
  <c r="Q319" i="6"/>
  <c r="Q320" i="6"/>
  <c r="F319" i="6" s="1"/>
  <c r="Q321" i="6"/>
  <c r="Q322" i="6"/>
  <c r="Q323" i="6"/>
  <c r="Q327" i="6"/>
  <c r="Q329" i="6"/>
  <c r="Q331" i="6"/>
  <c r="Y2598" i="1"/>
  <c r="X2598" i="1"/>
  <c r="Y2573" i="1"/>
  <c r="X2573" i="1"/>
  <c r="Y2548" i="1"/>
  <c r="X2548" i="1"/>
  <c r="Y2523" i="1"/>
  <c r="X2523" i="1"/>
  <c r="H21" i="6"/>
  <c r="I398" i="7"/>
  <c r="I399" i="7"/>
  <c r="I400" i="7"/>
  <c r="I115" i="7"/>
  <c r="I109" i="7"/>
  <c r="I110" i="7"/>
  <c r="I86" i="7"/>
  <c r="I87" i="7"/>
  <c r="I28" i="7"/>
  <c r="D59" i="16"/>
  <c r="E24" i="8" s="1"/>
  <c r="E33" i="8" s="1"/>
  <c r="I413" i="7"/>
  <c r="I414" i="7"/>
  <c r="I415" i="7"/>
  <c r="I412" i="7"/>
  <c r="I411" i="7"/>
  <c r="I410" i="7"/>
  <c r="I409" i="7"/>
  <c r="I408" i="7"/>
  <c r="I407" i="7"/>
  <c r="I406" i="7"/>
  <c r="I405" i="7"/>
  <c r="I404" i="7"/>
  <c r="I403" i="7"/>
  <c r="I402" i="7"/>
  <c r="I401" i="7"/>
  <c r="I397" i="7"/>
  <c r="I396" i="7"/>
  <c r="I393" i="7"/>
  <c r="I392" i="7"/>
  <c r="I391" i="7"/>
  <c r="I390" i="7"/>
  <c r="I389" i="7"/>
  <c r="I388" i="7"/>
  <c r="I387" i="7"/>
  <c r="I386" i="7"/>
  <c r="I385" i="7"/>
  <c r="I384" i="7"/>
  <c r="I383" i="7"/>
  <c r="I382" i="7"/>
  <c r="I381" i="7"/>
  <c r="I380" i="7"/>
  <c r="I379" i="7"/>
  <c r="I378" i="7"/>
  <c r="I377" i="7"/>
  <c r="I376" i="7"/>
  <c r="I375" i="7"/>
  <c r="I374" i="7"/>
  <c r="I373" i="7"/>
  <c r="I372" i="7"/>
  <c r="I371" i="7"/>
  <c r="I370" i="7"/>
  <c r="I369" i="7"/>
  <c r="I368" i="7"/>
  <c r="I367" i="7"/>
  <c r="I366" i="7"/>
  <c r="I365" i="7"/>
  <c r="I364" i="7"/>
  <c r="I363" i="7"/>
  <c r="I362" i="7"/>
  <c r="I361" i="7"/>
  <c r="I360" i="7"/>
  <c r="I359" i="7"/>
  <c r="I358" i="7"/>
  <c r="I357" i="7"/>
  <c r="I356" i="7"/>
  <c r="I355" i="7"/>
  <c r="I354" i="7"/>
  <c r="I353" i="7"/>
  <c r="I352" i="7"/>
  <c r="I351" i="7"/>
  <c r="I348" i="7"/>
  <c r="I347" i="7"/>
  <c r="I346" i="7"/>
  <c r="I345" i="7"/>
  <c r="I332" i="7"/>
  <c r="I330" i="7"/>
  <c r="I329" i="7"/>
  <c r="I328" i="7"/>
  <c r="I321" i="7"/>
  <c r="I320" i="7"/>
  <c r="I319" i="7"/>
  <c r="I318" i="7"/>
  <c r="I312" i="7"/>
  <c r="I311" i="7"/>
  <c r="I310" i="7"/>
  <c r="I305" i="7"/>
  <c r="I303" i="7"/>
  <c r="I302" i="7"/>
  <c r="I301" i="7"/>
  <c r="I300" i="7"/>
  <c r="I299" i="7"/>
  <c r="I298" i="7"/>
  <c r="I297" i="7"/>
  <c r="I296" i="7"/>
  <c r="I295" i="7"/>
  <c r="I294" i="7"/>
  <c r="I293" i="7"/>
  <c r="I292" i="7"/>
  <c r="I291" i="7"/>
  <c r="I290" i="7"/>
  <c r="I289" i="7"/>
  <c r="I288" i="7"/>
  <c r="I287" i="7"/>
  <c r="I286" i="7"/>
  <c r="I285" i="7"/>
  <c r="I284" i="7"/>
  <c r="I283" i="7"/>
  <c r="I282" i="7"/>
  <c r="I281" i="7"/>
  <c r="I280" i="7"/>
  <c r="I279" i="7"/>
  <c r="I278" i="7"/>
  <c r="I277" i="7"/>
  <c r="I276" i="7"/>
  <c r="I275" i="7"/>
  <c r="I274" i="7"/>
  <c r="I273" i="7"/>
  <c r="I272" i="7"/>
  <c r="I271" i="7"/>
  <c r="I270" i="7"/>
  <c r="I269" i="7"/>
  <c r="I268" i="7"/>
  <c r="I267" i="7"/>
  <c r="I266" i="7"/>
  <c r="I265" i="7"/>
  <c r="I264" i="7"/>
  <c r="I262" i="7"/>
  <c r="I260" i="7"/>
  <c r="I259" i="7"/>
  <c r="I258" i="7"/>
  <c r="I257" i="7"/>
  <c r="I256" i="7"/>
  <c r="I255" i="7"/>
  <c r="I253" i="7"/>
  <c r="I252" i="7"/>
  <c r="I251" i="7"/>
  <c r="I250" i="7"/>
  <c r="I249" i="7"/>
  <c r="I248" i="7"/>
  <c r="I247" i="7"/>
  <c r="I246" i="7"/>
  <c r="I245" i="7"/>
  <c r="I244" i="7"/>
  <c r="I243" i="7"/>
  <c r="I242" i="7"/>
  <c r="I240" i="7"/>
  <c r="I239" i="7"/>
  <c r="I238" i="7"/>
  <c r="I236" i="7"/>
  <c r="I235" i="7"/>
  <c r="I233" i="7"/>
  <c r="I232" i="7"/>
  <c r="I231" i="7"/>
  <c r="I230" i="7"/>
  <c r="I229" i="7"/>
  <c r="I228" i="7"/>
  <c r="I227" i="7"/>
  <c r="I226" i="7"/>
  <c r="I225" i="7"/>
  <c r="I224" i="7"/>
  <c r="I223" i="7"/>
  <c r="I222" i="7"/>
  <c r="I221" i="7"/>
  <c r="I212" i="7"/>
  <c r="I211" i="7"/>
  <c r="I208" i="7"/>
  <c r="I207" i="7"/>
  <c r="I206" i="7"/>
  <c r="I205" i="7"/>
  <c r="I204" i="7"/>
  <c r="I203" i="7"/>
  <c r="I202" i="7"/>
  <c r="I197" i="7"/>
  <c r="I196" i="7"/>
  <c r="I195" i="7"/>
  <c r="I139" i="7"/>
  <c r="I138" i="7"/>
  <c r="I137" i="7"/>
  <c r="I136" i="7"/>
  <c r="I135" i="7"/>
  <c r="I134" i="7"/>
  <c r="I133" i="7"/>
  <c r="I132" i="7"/>
  <c r="I131" i="7"/>
  <c r="I130" i="7"/>
  <c r="I129" i="7"/>
  <c r="I125" i="7"/>
  <c r="I124" i="7"/>
  <c r="I123" i="7"/>
  <c r="I122" i="7"/>
  <c r="I121" i="7"/>
  <c r="I120" i="7"/>
  <c r="I119" i="7"/>
  <c r="I114" i="7"/>
  <c r="I113" i="7"/>
  <c r="I112" i="7"/>
  <c r="I111" i="7"/>
  <c r="I108" i="7"/>
  <c r="I107" i="7"/>
  <c r="I106" i="7"/>
  <c r="I105" i="7"/>
  <c r="I104" i="7"/>
  <c r="I103" i="7"/>
  <c r="I102" i="7"/>
  <c r="I101" i="7"/>
  <c r="I100" i="7"/>
  <c r="I99" i="7"/>
  <c r="I98" i="7"/>
  <c r="I96" i="7"/>
  <c r="I95" i="7"/>
  <c r="I94" i="7"/>
  <c r="I89" i="7"/>
  <c r="I88" i="7"/>
  <c r="I85" i="7"/>
  <c r="I84" i="7"/>
  <c r="I83" i="7"/>
  <c r="I82" i="7"/>
  <c r="I81" i="7"/>
  <c r="I80" i="7"/>
  <c r="I78" i="7"/>
  <c r="I77" i="7"/>
  <c r="I76" i="7"/>
  <c r="I75" i="7"/>
  <c r="I74" i="7"/>
  <c r="I73" i="7"/>
  <c r="I72" i="7"/>
  <c r="I71" i="7"/>
  <c r="I70"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3" i="7"/>
  <c r="I32" i="7"/>
  <c r="I31" i="7"/>
  <c r="I30" i="7"/>
  <c r="I29" i="7"/>
  <c r="I27" i="7"/>
  <c r="I26" i="7"/>
  <c r="I25" i="7"/>
  <c r="I24" i="7"/>
  <c r="I23" i="7"/>
  <c r="I22" i="7"/>
  <c r="I21" i="7"/>
  <c r="I20" i="7"/>
  <c r="I19" i="7"/>
  <c r="I18" i="7"/>
  <c r="I17" i="7"/>
  <c r="I16" i="7"/>
  <c r="I15" i="7"/>
  <c r="I14" i="7"/>
  <c r="I13" i="7"/>
  <c r="I12" i="7"/>
  <c r="I11" i="7"/>
  <c r="I10" i="7"/>
  <c r="I9" i="7"/>
  <c r="I8" i="7"/>
  <c r="I7" i="7"/>
  <c r="I6" i="7"/>
  <c r="I5" i="7"/>
  <c r="I4" i="7"/>
  <c r="I3" i="7"/>
  <c r="I2" i="7"/>
  <c r="G418" i="7"/>
  <c r="H319" i="6"/>
  <c r="H295" i="6"/>
  <c r="Y2613" i="1"/>
  <c r="Y2464" i="1" s="1"/>
  <c r="Y2614" i="1"/>
  <c r="Y2539" i="1" s="1"/>
  <c r="Y2612" i="1"/>
  <c r="Y2439" i="1" s="1"/>
  <c r="X2613" i="1"/>
  <c r="X2464" i="1" s="1"/>
  <c r="X2614" i="1"/>
  <c r="X2539" i="1" s="1"/>
  <c r="X2612" i="1"/>
  <c r="X2439" i="1" s="1"/>
  <c r="R2612" i="1"/>
  <c r="R2439" i="1" s="1"/>
  <c r="S2612" i="1"/>
  <c r="S2439" i="1" s="1"/>
  <c r="T2612" i="1"/>
  <c r="T2439" i="1" s="1"/>
  <c r="G13" i="11" s="1"/>
  <c r="N13" i="11" s="1"/>
  <c r="O13" i="11" s="1"/>
  <c r="U2612" i="1"/>
  <c r="F23" i="11" s="1"/>
  <c r="Q2612" i="1"/>
  <c r="Q2439" i="1" s="1"/>
  <c r="R2614" i="1"/>
  <c r="R2539" i="1" s="1"/>
  <c r="S2614" i="1"/>
  <c r="S2539" i="1" s="1"/>
  <c r="T2614" i="1"/>
  <c r="T2539" i="1" s="1"/>
  <c r="G133" i="11" s="1"/>
  <c r="N133" i="11" s="1"/>
  <c r="O133" i="11" s="1"/>
  <c r="U2614" i="1"/>
  <c r="F143" i="11" s="1"/>
  <c r="Q2614" i="1"/>
  <c r="Q2539" i="1" s="1"/>
  <c r="R2613" i="1"/>
  <c r="R2464" i="1" s="1"/>
  <c r="S2613" i="1"/>
  <c r="S2464" i="1" s="1"/>
  <c r="T2613" i="1"/>
  <c r="T2464" i="1" s="1"/>
  <c r="G43" i="11" s="1"/>
  <c r="U2613" i="1"/>
  <c r="U2464" i="1" s="1"/>
  <c r="Q2613" i="1"/>
  <c r="Q2464" i="1" s="1"/>
  <c r="A187" i="11"/>
  <c r="A157" i="11"/>
  <c r="A127" i="11"/>
  <c r="A97" i="11"/>
  <c r="A67" i="11"/>
  <c r="A37" i="11"/>
  <c r="W2544" i="1"/>
  <c r="D11" i="12"/>
  <c r="E11" i="12"/>
  <c r="C79" i="16"/>
  <c r="C84" i="16"/>
  <c r="BR24" i="8" s="1"/>
  <c r="BR33" i="8" s="1"/>
  <c r="Y298" i="10"/>
  <c r="D64" i="16" s="1"/>
  <c r="X24" i="8" s="1"/>
  <c r="X33" i="8" s="1"/>
  <c r="W15" i="8"/>
  <c r="V297" i="10"/>
  <c r="D61" i="16" s="1"/>
  <c r="S297" i="10"/>
  <c r="D56" i="16" s="1"/>
  <c r="CM33" i="8"/>
  <c r="CM24" i="8"/>
  <c r="BQ33" i="8"/>
  <c r="BQ24" i="8"/>
  <c r="V33" i="8"/>
  <c r="V24" i="8"/>
  <c r="C24" i="8"/>
  <c r="C33" i="8" s="1"/>
  <c r="C94" i="16"/>
  <c r="C89" i="16"/>
  <c r="H39" i="16" s="1"/>
  <c r="F163" i="6" s="1"/>
  <c r="B161" i="6" s="1"/>
  <c r="D39" i="16" s="1"/>
  <c r="F290" i="6"/>
  <c r="Q292" i="6"/>
  <c r="Q295" i="6"/>
  <c r="Q296" i="6"/>
  <c r="Q297" i="6"/>
  <c r="Q298" i="6"/>
  <c r="Q299" i="6"/>
  <c r="Q303" i="6"/>
  <c r="Q304" i="6"/>
  <c r="Q305" i="6"/>
  <c r="Q307" i="6"/>
  <c r="A313" i="6"/>
  <c r="A409" i="6" s="1"/>
  <c r="A337" i="6"/>
  <c r="F338" i="6"/>
  <c r="A361" i="6"/>
  <c r="F362" i="6"/>
  <c r="A385" i="6"/>
  <c r="F386" i="6"/>
  <c r="F410" i="6"/>
  <c r="B412" i="6"/>
  <c r="B413" i="6"/>
  <c r="B414" i="6"/>
  <c r="A191" i="6"/>
  <c r="A263" i="6" s="1"/>
  <c r="F192" i="6"/>
  <c r="F246" i="6" s="1"/>
  <c r="A209" i="6"/>
  <c r="F210" i="6"/>
  <c r="A227" i="6"/>
  <c r="F228" i="6"/>
  <c r="A245" i="6"/>
  <c r="B266" i="6"/>
  <c r="B267" i="6"/>
  <c r="B268" i="6"/>
  <c r="C85" i="16"/>
  <c r="C95" i="16"/>
  <c r="C90" i="16"/>
  <c r="E80" i="16"/>
  <c r="E75" i="16"/>
  <c r="C74" i="16"/>
  <c r="E70" i="16"/>
  <c r="C69" i="16"/>
  <c r="E65" i="16"/>
  <c r="C64" i="16"/>
  <c r="E55" i="16"/>
  <c r="E60" i="16"/>
  <c r="C54" i="16"/>
  <c r="C59" i="16"/>
  <c r="C39" i="16"/>
  <c r="AH300" i="10"/>
  <c r="F81" i="16" s="1"/>
  <c r="AH299" i="10"/>
  <c r="AE300" i="10"/>
  <c r="F76" i="16" s="1"/>
  <c r="AE299" i="10"/>
  <c r="AB300" i="10"/>
  <c r="F71" i="16" s="1"/>
  <c r="AB299" i="10"/>
  <c r="Y300" i="10"/>
  <c r="F66" i="16" s="1"/>
  <c r="Y299" i="10"/>
  <c r="V299" i="10"/>
  <c r="V300" i="10"/>
  <c r="F61" i="16" s="1"/>
  <c r="S299" i="10"/>
  <c r="S300" i="10"/>
  <c r="F56" i="16" s="1"/>
  <c r="F159" i="6"/>
  <c r="F147" i="6"/>
  <c r="F34" i="6"/>
  <c r="L246" i="10"/>
  <c r="L247" i="10"/>
  <c r="L248" i="10"/>
  <c r="L249" i="10"/>
  <c r="L250" i="10"/>
  <c r="L251" i="10"/>
  <c r="L252" i="10"/>
  <c r="L253" i="10"/>
  <c r="L254" i="10"/>
  <c r="L255" i="10"/>
  <c r="L256" i="10"/>
  <c r="L257" i="10"/>
  <c r="L258" i="10"/>
  <c r="L259" i="10"/>
  <c r="L260" i="10"/>
  <c r="L261" i="10"/>
  <c r="L262" i="10"/>
  <c r="L263" i="10"/>
  <c r="L245" i="10"/>
  <c r="J246" i="10"/>
  <c r="J247" i="10"/>
  <c r="J248" i="10"/>
  <c r="J249" i="10"/>
  <c r="J250" i="10"/>
  <c r="J251" i="10"/>
  <c r="J252" i="10"/>
  <c r="J253" i="10"/>
  <c r="J254" i="10"/>
  <c r="J255" i="10"/>
  <c r="J256" i="10"/>
  <c r="J257" i="10"/>
  <c r="J258" i="10"/>
  <c r="J259" i="10"/>
  <c r="J260" i="10"/>
  <c r="J261" i="10"/>
  <c r="J262" i="10"/>
  <c r="J263" i="10"/>
  <c r="J245" i="10"/>
  <c r="H246" i="10"/>
  <c r="H247" i="10"/>
  <c r="H248" i="10"/>
  <c r="H249" i="10"/>
  <c r="H250" i="10"/>
  <c r="H251" i="10"/>
  <c r="H252" i="10"/>
  <c r="H253" i="10"/>
  <c r="H254" i="10"/>
  <c r="H255" i="10"/>
  <c r="H256" i="10"/>
  <c r="H257" i="10"/>
  <c r="H258" i="10"/>
  <c r="H259" i="10"/>
  <c r="H260" i="10"/>
  <c r="H261" i="10"/>
  <c r="H262" i="10"/>
  <c r="H263" i="10"/>
  <c r="H245" i="10"/>
  <c r="F246" i="10"/>
  <c r="F247" i="10"/>
  <c r="F248" i="10"/>
  <c r="F249" i="10"/>
  <c r="F250" i="10"/>
  <c r="F251" i="10"/>
  <c r="F252" i="10"/>
  <c r="F253" i="10"/>
  <c r="F254" i="10"/>
  <c r="F255" i="10"/>
  <c r="F256" i="10"/>
  <c r="F257" i="10"/>
  <c r="F258" i="10"/>
  <c r="F259" i="10"/>
  <c r="F260" i="10"/>
  <c r="F261" i="10"/>
  <c r="F262" i="10"/>
  <c r="F263" i="10"/>
  <c r="F245" i="10"/>
  <c r="D246" i="10"/>
  <c r="D247" i="10"/>
  <c r="D248" i="10"/>
  <c r="D249" i="10"/>
  <c r="D250" i="10"/>
  <c r="D251" i="10"/>
  <c r="D252" i="10"/>
  <c r="D253" i="10"/>
  <c r="D254" i="10"/>
  <c r="D255" i="10"/>
  <c r="D256" i="10"/>
  <c r="D257" i="10"/>
  <c r="D258" i="10"/>
  <c r="D259" i="10"/>
  <c r="D260" i="10"/>
  <c r="D261" i="10"/>
  <c r="D262" i="10"/>
  <c r="D263" i="10"/>
  <c r="D245" i="10"/>
  <c r="B246" i="10"/>
  <c r="B247" i="10"/>
  <c r="B248" i="10"/>
  <c r="B249" i="10"/>
  <c r="B250" i="10"/>
  <c r="B251" i="10"/>
  <c r="B252" i="10"/>
  <c r="B253" i="10"/>
  <c r="B254" i="10"/>
  <c r="B255" i="10"/>
  <c r="B256" i="10"/>
  <c r="B257" i="10"/>
  <c r="B258" i="10"/>
  <c r="B259" i="10"/>
  <c r="B260" i="10"/>
  <c r="B261" i="10"/>
  <c r="B262" i="10"/>
  <c r="B263" i="10"/>
  <c r="B245" i="10"/>
  <c r="AN297" i="10"/>
  <c r="D91" i="16" s="1"/>
  <c r="D92" i="16" s="1"/>
  <c r="D80" i="16"/>
  <c r="D75" i="16"/>
  <c r="D70" i="16"/>
  <c r="D65" i="16"/>
  <c r="D60" i="16"/>
  <c r="D62" i="16" s="1"/>
  <c r="D55" i="16"/>
  <c r="W2588" i="1"/>
  <c r="W2589" i="1"/>
  <c r="W2590" i="1"/>
  <c r="W2591" i="1"/>
  <c r="W2592" i="1"/>
  <c r="W2593" i="1"/>
  <c r="W2594" i="1"/>
  <c r="W2595" i="1"/>
  <c r="W2596" i="1"/>
  <c r="W2597" i="1"/>
  <c r="W2598" i="1"/>
  <c r="W2600" i="1"/>
  <c r="W2601" i="1"/>
  <c r="W2602" i="1"/>
  <c r="W2603" i="1"/>
  <c r="W2604" i="1"/>
  <c r="W2605" i="1"/>
  <c r="W2606" i="1"/>
  <c r="W2607" i="1"/>
  <c r="W2587" i="1"/>
  <c r="W2586" i="1"/>
  <c r="W2563" i="1"/>
  <c r="W2564" i="1"/>
  <c r="W2565" i="1"/>
  <c r="W2566" i="1"/>
  <c r="W2567" i="1"/>
  <c r="W2568" i="1"/>
  <c r="W2569" i="1"/>
  <c r="W2570" i="1"/>
  <c r="W2571" i="1"/>
  <c r="W2572" i="1"/>
  <c r="W2573" i="1"/>
  <c r="W2575" i="1"/>
  <c r="W2576" i="1"/>
  <c r="W2577" i="1"/>
  <c r="W2578" i="1"/>
  <c r="W2579" i="1"/>
  <c r="W2580" i="1"/>
  <c r="W2581" i="1"/>
  <c r="W2582" i="1"/>
  <c r="W2562" i="1"/>
  <c r="W2561" i="1"/>
  <c r="W2538" i="1"/>
  <c r="W2539" i="1"/>
  <c r="W2540" i="1"/>
  <c r="W2541" i="1"/>
  <c r="W2542" i="1"/>
  <c r="W2543" i="1"/>
  <c r="W2545" i="1"/>
  <c r="W2546" i="1"/>
  <c r="W2547" i="1"/>
  <c r="W2548" i="1"/>
  <c r="W2550" i="1"/>
  <c r="W2551" i="1"/>
  <c r="W2552" i="1"/>
  <c r="W2553" i="1"/>
  <c r="W2554" i="1"/>
  <c r="W2555" i="1"/>
  <c r="W2556" i="1"/>
  <c r="W2557" i="1"/>
  <c r="W2537" i="1"/>
  <c r="W2536" i="1"/>
  <c r="W2513" i="1"/>
  <c r="W2514" i="1"/>
  <c r="W2515" i="1"/>
  <c r="W2516" i="1"/>
  <c r="W2517" i="1"/>
  <c r="W2518" i="1"/>
  <c r="W2519" i="1"/>
  <c r="W2520" i="1"/>
  <c r="W2521" i="1"/>
  <c r="W2522" i="1"/>
  <c r="W2523" i="1"/>
  <c r="W2525" i="1"/>
  <c r="W2526" i="1"/>
  <c r="W2527" i="1"/>
  <c r="W2528" i="1"/>
  <c r="W2529" i="1"/>
  <c r="W2530" i="1"/>
  <c r="W2531" i="1"/>
  <c r="W2532" i="1"/>
  <c r="W2512" i="1"/>
  <c r="W2511" i="1"/>
  <c r="W2488" i="1"/>
  <c r="W2489" i="1"/>
  <c r="W2490" i="1"/>
  <c r="W2491" i="1"/>
  <c r="W2492" i="1"/>
  <c r="W2493" i="1"/>
  <c r="W2494" i="1"/>
  <c r="W2495" i="1"/>
  <c r="W2496" i="1"/>
  <c r="W2497" i="1"/>
  <c r="W2498" i="1"/>
  <c r="W2500" i="1"/>
  <c r="W2501" i="1"/>
  <c r="W2502" i="1"/>
  <c r="W2503" i="1"/>
  <c r="W2504" i="1"/>
  <c r="W2505" i="1"/>
  <c r="W2506" i="1"/>
  <c r="W2507" i="1"/>
  <c r="W2487" i="1"/>
  <c r="W2486" i="1"/>
  <c r="W2438" i="1"/>
  <c r="W2439" i="1"/>
  <c r="W2440" i="1"/>
  <c r="W2441" i="1"/>
  <c r="W2442" i="1"/>
  <c r="W2443" i="1"/>
  <c r="W2444" i="1"/>
  <c r="W2445" i="1"/>
  <c r="W2446" i="1"/>
  <c r="W2447" i="1"/>
  <c r="W2448" i="1"/>
  <c r="W2450" i="1"/>
  <c r="W2451" i="1"/>
  <c r="W2452" i="1"/>
  <c r="W2453" i="1"/>
  <c r="W2454" i="1"/>
  <c r="W2455" i="1"/>
  <c r="W2456" i="1"/>
  <c r="W2457" i="1"/>
  <c r="W2437" i="1"/>
  <c r="W2436" i="1"/>
  <c r="W2475" i="1"/>
  <c r="W2476" i="1"/>
  <c r="W2477" i="1"/>
  <c r="W2478" i="1"/>
  <c r="W2479" i="1"/>
  <c r="W2480" i="1"/>
  <c r="W2481" i="1"/>
  <c r="W2482" i="1"/>
  <c r="W2463" i="1"/>
  <c r="W2464" i="1"/>
  <c r="W2465" i="1"/>
  <c r="W2466" i="1"/>
  <c r="W2467" i="1"/>
  <c r="W2468" i="1"/>
  <c r="W2469" i="1"/>
  <c r="W2470" i="1"/>
  <c r="W2471" i="1"/>
  <c r="W2472" i="1"/>
  <c r="W2473" i="1"/>
  <c r="W2462" i="1"/>
  <c r="W2461" i="1"/>
  <c r="AK297" i="10"/>
  <c r="D86" i="16" s="1"/>
  <c r="D87" i="16" s="1"/>
  <c r="L121" i="10"/>
  <c r="M121" i="10"/>
  <c r="L124" i="10"/>
  <c r="M124" i="10"/>
  <c r="L125" i="10"/>
  <c r="M125" i="10"/>
  <c r="L126" i="10"/>
  <c r="M126" i="10"/>
  <c r="L127" i="10"/>
  <c r="M127" i="10"/>
  <c r="L128" i="10"/>
  <c r="M128" i="10"/>
  <c r="L132" i="10"/>
  <c r="M132" i="10"/>
  <c r="L133" i="10"/>
  <c r="M133" i="10"/>
  <c r="L134" i="10"/>
  <c r="M134" i="10"/>
  <c r="L136" i="10"/>
  <c r="M136" i="10"/>
  <c r="J121" i="10"/>
  <c r="K121" i="10"/>
  <c r="J124" i="10"/>
  <c r="K124" i="10"/>
  <c r="J125" i="10"/>
  <c r="K125" i="10"/>
  <c r="J126" i="10"/>
  <c r="K126" i="10"/>
  <c r="J127" i="10"/>
  <c r="K127" i="10"/>
  <c r="J128" i="10"/>
  <c r="K128" i="10"/>
  <c r="J132" i="10"/>
  <c r="K132" i="10"/>
  <c r="J133" i="10"/>
  <c r="K133" i="10"/>
  <c r="J134" i="10"/>
  <c r="K134" i="10"/>
  <c r="J136" i="10"/>
  <c r="K136" i="10"/>
  <c r="H121" i="10"/>
  <c r="I121" i="10"/>
  <c r="H124" i="10"/>
  <c r="I124" i="10"/>
  <c r="H125" i="10"/>
  <c r="I125" i="10"/>
  <c r="H126" i="10"/>
  <c r="I126" i="10"/>
  <c r="H127" i="10"/>
  <c r="I127" i="10"/>
  <c r="H128" i="10"/>
  <c r="I128" i="10"/>
  <c r="H132" i="10"/>
  <c r="I132" i="10"/>
  <c r="H133" i="10"/>
  <c r="I133" i="10"/>
  <c r="H134" i="10"/>
  <c r="I134" i="10"/>
  <c r="H136" i="10"/>
  <c r="I136" i="10"/>
  <c r="D121" i="10"/>
  <c r="E121" i="10"/>
  <c r="D124" i="10"/>
  <c r="E124" i="10"/>
  <c r="D125" i="10"/>
  <c r="E125" i="10"/>
  <c r="D126" i="10"/>
  <c r="E126" i="10"/>
  <c r="D127" i="10"/>
  <c r="E127" i="10"/>
  <c r="D128" i="10"/>
  <c r="E128" i="10"/>
  <c r="D132" i="10"/>
  <c r="E132" i="10"/>
  <c r="D133" i="10"/>
  <c r="E133" i="10"/>
  <c r="D134" i="10"/>
  <c r="E134" i="10"/>
  <c r="D136" i="10"/>
  <c r="E136" i="10"/>
  <c r="B121" i="10"/>
  <c r="C121" i="10"/>
  <c r="B124" i="10"/>
  <c r="C124" i="10"/>
  <c r="B125" i="10"/>
  <c r="C125" i="10"/>
  <c r="B126" i="10"/>
  <c r="C126" i="10"/>
  <c r="B127" i="10"/>
  <c r="C127" i="10"/>
  <c r="B128" i="10"/>
  <c r="C128" i="10"/>
  <c r="B132" i="10"/>
  <c r="C132" i="10"/>
  <c r="B133" i="10"/>
  <c r="C133" i="10"/>
  <c r="B134" i="10"/>
  <c r="C134" i="10"/>
  <c r="B136" i="10"/>
  <c r="C136" i="10"/>
  <c r="X2605" i="1"/>
  <c r="Y2605" i="1"/>
  <c r="X2606" i="1"/>
  <c r="Y2606" i="1"/>
  <c r="X2607" i="1"/>
  <c r="Y2607" i="1"/>
  <c r="X2580" i="1"/>
  <c r="Y2580" i="1"/>
  <c r="X2581" i="1"/>
  <c r="Y2581" i="1"/>
  <c r="X2582" i="1"/>
  <c r="Y2582" i="1"/>
  <c r="X2531" i="1"/>
  <c r="Y2531" i="1"/>
  <c r="X2532" i="1"/>
  <c r="Y2532" i="1"/>
  <c r="X2480" i="1"/>
  <c r="Y2480" i="1"/>
  <c r="X2481" i="1"/>
  <c r="Y2481" i="1"/>
  <c r="X2482" i="1"/>
  <c r="Y2482" i="1"/>
  <c r="X2504" i="1"/>
  <c r="Y2504" i="1"/>
  <c r="X2505" i="1"/>
  <c r="Y2505" i="1"/>
  <c r="X2506" i="1"/>
  <c r="Y2506" i="1"/>
  <c r="X2507" i="1"/>
  <c r="Y2507" i="1"/>
  <c r="X2455" i="1"/>
  <c r="Y2455" i="1"/>
  <c r="X2456" i="1"/>
  <c r="Y2456" i="1"/>
  <c r="X2457" i="1"/>
  <c r="Y2457" i="1"/>
  <c r="R2605" i="1"/>
  <c r="S2605" i="1"/>
  <c r="T2605" i="1"/>
  <c r="G210" i="11" s="1"/>
  <c r="N210" i="11" s="1"/>
  <c r="O210" i="11" s="1"/>
  <c r="U2605" i="1"/>
  <c r="R2607" i="1"/>
  <c r="S2607" i="1"/>
  <c r="T2607" i="1"/>
  <c r="G212" i="11" s="1"/>
  <c r="N212" i="11" s="1"/>
  <c r="O212" i="11" s="1"/>
  <c r="U2607" i="1"/>
  <c r="R2606" i="1"/>
  <c r="S2606" i="1"/>
  <c r="T2606" i="1"/>
  <c r="G211" i="11" s="1"/>
  <c r="K211" i="11" s="1"/>
  <c r="L211" i="11" s="1"/>
  <c r="U2606" i="1"/>
  <c r="R2604" i="1"/>
  <c r="S2604" i="1"/>
  <c r="T2604" i="1"/>
  <c r="G209" i="11" s="1"/>
  <c r="U2604" i="1"/>
  <c r="Q2603" i="1"/>
  <c r="Q2605" i="1"/>
  <c r="Q2607" i="1"/>
  <c r="Q2606" i="1"/>
  <c r="R2580" i="1"/>
  <c r="S2580" i="1"/>
  <c r="T2580" i="1"/>
  <c r="G180" i="11" s="1"/>
  <c r="U2580" i="1"/>
  <c r="R2582" i="1"/>
  <c r="S2582" i="1"/>
  <c r="T2582" i="1"/>
  <c r="U2582" i="1"/>
  <c r="R2581" i="1"/>
  <c r="S2581" i="1"/>
  <c r="T2581" i="1"/>
  <c r="U2581" i="1"/>
  <c r="Q2580" i="1"/>
  <c r="Q2582" i="1"/>
  <c r="Q2581" i="1"/>
  <c r="Q2579" i="1"/>
  <c r="R2455" i="1"/>
  <c r="S2455" i="1"/>
  <c r="T2455" i="1"/>
  <c r="U2455" i="1"/>
  <c r="R2457" i="1"/>
  <c r="S2457" i="1"/>
  <c r="T2457" i="1"/>
  <c r="G32" i="11" s="1"/>
  <c r="K32" i="11" s="1"/>
  <c r="L32" i="11" s="1"/>
  <c r="U2457" i="1"/>
  <c r="R2456" i="1"/>
  <c r="S2456" i="1"/>
  <c r="T2456" i="1"/>
  <c r="U2456" i="1"/>
  <c r="Q2455" i="1"/>
  <c r="Q2457" i="1"/>
  <c r="Q2456" i="1"/>
  <c r="R2480" i="1"/>
  <c r="S2480" i="1"/>
  <c r="T2480" i="1"/>
  <c r="U2480" i="1"/>
  <c r="R2482" i="1"/>
  <c r="S2482" i="1"/>
  <c r="T2482" i="1"/>
  <c r="G62" i="11" s="1"/>
  <c r="U2482" i="1"/>
  <c r="R2481" i="1"/>
  <c r="S2481" i="1"/>
  <c r="T2481" i="1"/>
  <c r="G61" i="11" s="1"/>
  <c r="N61" i="11" s="1"/>
  <c r="O61" i="11" s="1"/>
  <c r="U2481" i="1"/>
  <c r="Q2480" i="1"/>
  <c r="Q2482" i="1"/>
  <c r="Q2481" i="1"/>
  <c r="R2553" i="1"/>
  <c r="S2553" i="1"/>
  <c r="T2553" i="1"/>
  <c r="G148" i="11" s="1"/>
  <c r="N148" i="11" s="1"/>
  <c r="O148" i="11" s="1"/>
  <c r="U2553" i="1"/>
  <c r="R2555" i="1"/>
  <c r="S2555" i="1"/>
  <c r="T2555" i="1"/>
  <c r="G150" i="11" s="1"/>
  <c r="U2555" i="1"/>
  <c r="R2557" i="1"/>
  <c r="S2557" i="1"/>
  <c r="T2557" i="1"/>
  <c r="G152" i="11" s="1"/>
  <c r="K152" i="11" s="1"/>
  <c r="L152" i="11" s="1"/>
  <c r="U2557" i="1"/>
  <c r="R2556" i="1"/>
  <c r="S2556" i="1"/>
  <c r="T2556" i="1"/>
  <c r="G151" i="11" s="1"/>
  <c r="U2556" i="1"/>
  <c r="Q2555" i="1"/>
  <c r="Q2557" i="1"/>
  <c r="Q2556" i="1"/>
  <c r="R2532" i="1"/>
  <c r="S2532" i="1"/>
  <c r="T2532" i="1"/>
  <c r="G122" i="11" s="1"/>
  <c r="N122" i="11" s="1"/>
  <c r="O122" i="11" s="1"/>
  <c r="U2532" i="1"/>
  <c r="R2531" i="1"/>
  <c r="S2531" i="1"/>
  <c r="T2531" i="1"/>
  <c r="U2531" i="1"/>
  <c r="Q2532" i="1"/>
  <c r="Q2531" i="1"/>
  <c r="R2505" i="1"/>
  <c r="S2505" i="1"/>
  <c r="T2505" i="1"/>
  <c r="G90" i="11" s="1"/>
  <c r="U2505" i="1"/>
  <c r="R2507" i="1"/>
  <c r="S2507" i="1"/>
  <c r="T2507" i="1"/>
  <c r="G92" i="11" s="1"/>
  <c r="K92" i="11" s="1"/>
  <c r="L92" i="11" s="1"/>
  <c r="U2507" i="1"/>
  <c r="R2506" i="1"/>
  <c r="S2506" i="1"/>
  <c r="T2506" i="1"/>
  <c r="G91" i="11" s="1"/>
  <c r="U2506" i="1"/>
  <c r="Q2505" i="1"/>
  <c r="Q2507" i="1"/>
  <c r="Q2506" i="1"/>
  <c r="X2556" i="1"/>
  <c r="Y2556" i="1"/>
  <c r="R2598" i="1"/>
  <c r="S2598" i="1"/>
  <c r="T2598" i="1"/>
  <c r="U2598" i="1"/>
  <c r="Q2598" i="1"/>
  <c r="R2573" i="1"/>
  <c r="S2573" i="1"/>
  <c r="T2573" i="1"/>
  <c r="G172" i="11" s="1"/>
  <c r="K172" i="11" s="1"/>
  <c r="L172" i="11" s="1"/>
  <c r="U2573" i="1"/>
  <c r="Q2573" i="1"/>
  <c r="R2548" i="1"/>
  <c r="S2548" i="1"/>
  <c r="T2548" i="1"/>
  <c r="G142" i="11" s="1"/>
  <c r="U2548" i="1"/>
  <c r="Q2548" i="1"/>
  <c r="R2523" i="1"/>
  <c r="S2523" i="1"/>
  <c r="T2523" i="1"/>
  <c r="G112" i="11" s="1"/>
  <c r="K112" i="11" s="1"/>
  <c r="L112" i="11" s="1"/>
  <c r="U2523" i="1"/>
  <c r="Q2523" i="1"/>
  <c r="Y2498" i="1"/>
  <c r="X2498" i="1"/>
  <c r="R2498" i="1"/>
  <c r="S2498" i="1"/>
  <c r="T2498" i="1"/>
  <c r="G82" i="11" s="1"/>
  <c r="N82" i="11" s="1"/>
  <c r="O82" i="11" s="1"/>
  <c r="U2498" i="1"/>
  <c r="Q2498" i="1"/>
  <c r="Y2448" i="1"/>
  <c r="X2448" i="1"/>
  <c r="R2448" i="1"/>
  <c r="S2448" i="1"/>
  <c r="T2448" i="1"/>
  <c r="G22" i="11" s="1"/>
  <c r="N22" i="11" s="1"/>
  <c r="O22" i="11" s="1"/>
  <c r="U2448" i="1"/>
  <c r="Q2448" i="1"/>
  <c r="A33" i="6"/>
  <c r="A51" i="6" s="1"/>
  <c r="A71" i="6" s="1"/>
  <c r="A89" i="6" s="1"/>
  <c r="A108" i="6" s="1"/>
  <c r="A126" i="6" s="1"/>
  <c r="A146" i="6" s="1"/>
  <c r="A158" i="6" s="1"/>
  <c r="K133" i="12"/>
  <c r="K132" i="12"/>
  <c r="K16" i="12" s="1"/>
  <c r="N16" i="12" s="1"/>
  <c r="O16" i="12" s="1"/>
  <c r="K131" i="12"/>
  <c r="K11" i="12" s="1"/>
  <c r="N11" i="12" s="1"/>
  <c r="K130" i="12"/>
  <c r="K6" i="12"/>
  <c r="N6" i="12" s="1"/>
  <c r="K127" i="12"/>
  <c r="K13" i="12"/>
  <c r="N13" i="12" s="1"/>
  <c r="K126" i="12"/>
  <c r="K125" i="12"/>
  <c r="K17" i="12" s="1"/>
  <c r="N17" i="12" s="1"/>
  <c r="K124" i="12"/>
  <c r="K12" i="12" s="1"/>
  <c r="N12" i="12" s="1"/>
  <c r="K123" i="12"/>
  <c r="K8" i="12" s="1"/>
  <c r="N8" i="12" s="1"/>
  <c r="K122" i="12"/>
  <c r="K121" i="12"/>
  <c r="K120" i="12"/>
  <c r="K15" i="12" s="1"/>
  <c r="N15" i="12"/>
  <c r="K119" i="12"/>
  <c r="K14" i="12" s="1"/>
  <c r="N14" i="12" s="1"/>
  <c r="K118" i="12"/>
  <c r="K117" i="12"/>
  <c r="K7" i="12" s="1"/>
  <c r="N7" i="12" s="1"/>
  <c r="K116" i="12"/>
  <c r="K5" i="12" s="1"/>
  <c r="N5" i="12" s="1"/>
  <c r="O5" i="12" s="1"/>
  <c r="Y2438" i="1"/>
  <c r="U2438" i="1"/>
  <c r="Y15" i="8"/>
  <c r="K55" i="12"/>
  <c r="M55" i="12"/>
  <c r="K53" i="12"/>
  <c r="M53" i="12"/>
  <c r="N53" i="12" s="1"/>
  <c r="K51" i="12"/>
  <c r="M51" i="12" s="1"/>
  <c r="K48" i="12"/>
  <c r="M48" i="12" s="1"/>
  <c r="K45" i="12"/>
  <c r="M45" i="12"/>
  <c r="N45" i="12" s="1"/>
  <c r="K43" i="12"/>
  <c r="M43" i="12" s="1"/>
  <c r="K42" i="12"/>
  <c r="M42" i="12"/>
  <c r="K41" i="12"/>
  <c r="M41" i="12"/>
  <c r="K40" i="12"/>
  <c r="M40" i="12"/>
  <c r="K39" i="12"/>
  <c r="M39" i="12" s="1"/>
  <c r="K36" i="12"/>
  <c r="M36" i="12" s="1"/>
  <c r="N36" i="12" s="1"/>
  <c r="K35" i="12"/>
  <c r="M35" i="12"/>
  <c r="K34" i="12"/>
  <c r="M34" i="12"/>
  <c r="K33" i="12"/>
  <c r="M33" i="12" s="1"/>
  <c r="K83" i="12"/>
  <c r="M83" i="12" s="1"/>
  <c r="N83" i="12" s="1"/>
  <c r="K81" i="12"/>
  <c r="M81" i="12"/>
  <c r="K79" i="12"/>
  <c r="M79" i="12"/>
  <c r="K76" i="12"/>
  <c r="M76" i="12" s="1"/>
  <c r="K73" i="12"/>
  <c r="M73" i="12" s="1"/>
  <c r="K71" i="12"/>
  <c r="M71" i="12"/>
  <c r="N71" i="12" s="1"/>
  <c r="K70" i="12"/>
  <c r="M70" i="12"/>
  <c r="K69" i="12"/>
  <c r="M69" i="12" s="1"/>
  <c r="K68" i="12"/>
  <c r="M68" i="12" s="1"/>
  <c r="K67" i="12"/>
  <c r="M67" i="12" s="1"/>
  <c r="K64" i="12"/>
  <c r="M64" i="12" s="1"/>
  <c r="K63" i="12"/>
  <c r="M63" i="12"/>
  <c r="N63" i="12" s="1"/>
  <c r="K62" i="12"/>
  <c r="M62" i="12"/>
  <c r="K61" i="12"/>
  <c r="M61" i="12"/>
  <c r="K223" i="12"/>
  <c r="J83" i="12" s="1"/>
  <c r="K222" i="12"/>
  <c r="J81" i="12" s="1"/>
  <c r="K196" i="12"/>
  <c r="J55" i="12"/>
  <c r="K195" i="12"/>
  <c r="J53" i="12"/>
  <c r="K215" i="12"/>
  <c r="J73" i="12"/>
  <c r="K188" i="12"/>
  <c r="J45" i="12" s="1"/>
  <c r="L27" i="12"/>
  <c r="N27" i="12" s="1"/>
  <c r="K169" i="12"/>
  <c r="J27" i="12" s="1"/>
  <c r="K168" i="12"/>
  <c r="J25" i="12"/>
  <c r="N25" i="12" s="1"/>
  <c r="L17" i="12"/>
  <c r="K203" i="12"/>
  <c r="J62" i="12" s="1"/>
  <c r="K204" i="12"/>
  <c r="J63" i="12" s="1"/>
  <c r="K205" i="12"/>
  <c r="J64" i="12"/>
  <c r="K207" i="12"/>
  <c r="J65" i="12" s="1"/>
  <c r="M65" i="12" s="1"/>
  <c r="K209" i="12"/>
  <c r="J67" i="12"/>
  <c r="K210" i="12"/>
  <c r="J68" i="12" s="1"/>
  <c r="K211" i="12"/>
  <c r="J69" i="12" s="1"/>
  <c r="K212" i="12"/>
  <c r="J70" i="12"/>
  <c r="K213" i="12"/>
  <c r="J71" i="12"/>
  <c r="K214" i="12"/>
  <c r="J72" i="12"/>
  <c r="M72" i="12" s="1"/>
  <c r="K218" i="12"/>
  <c r="J76" i="12"/>
  <c r="K219" i="12"/>
  <c r="J77" i="12"/>
  <c r="M77" i="12" s="1"/>
  <c r="N77" i="12" s="1"/>
  <c r="K220" i="12"/>
  <c r="J82" i="12" s="1"/>
  <c r="M82" i="12" s="1"/>
  <c r="K221" i="12"/>
  <c r="J79" i="12" s="1"/>
  <c r="K202" i="12"/>
  <c r="J61" i="12" s="1"/>
  <c r="K176" i="12"/>
  <c r="J34" i="12"/>
  <c r="K177" i="12"/>
  <c r="J35" i="12" s="1"/>
  <c r="K178" i="12"/>
  <c r="J36" i="12" s="1"/>
  <c r="K180" i="12"/>
  <c r="J37" i="12" s="1"/>
  <c r="M37" i="12"/>
  <c r="N37" i="12" s="1"/>
  <c r="K182" i="12"/>
  <c r="J39" i="12"/>
  <c r="K183" i="12"/>
  <c r="J40" i="12"/>
  <c r="K184" i="12"/>
  <c r="J41" i="12" s="1"/>
  <c r="K185" i="12"/>
  <c r="J42" i="12" s="1"/>
  <c r="K186" i="12"/>
  <c r="J43" i="12"/>
  <c r="K187" i="12"/>
  <c r="J44" i="12"/>
  <c r="M44" i="12" s="1"/>
  <c r="K191" i="12"/>
  <c r="J48" i="12"/>
  <c r="K192" i="12"/>
  <c r="J49" i="12" s="1"/>
  <c r="M49" i="12" s="1"/>
  <c r="K193" i="12"/>
  <c r="J54" i="12"/>
  <c r="M54" i="12" s="1"/>
  <c r="N54" i="12" s="1"/>
  <c r="K194" i="12"/>
  <c r="J51" i="12" s="1"/>
  <c r="K175" i="12"/>
  <c r="J33" i="12"/>
  <c r="L13" i="12"/>
  <c r="L23" i="12"/>
  <c r="N23" i="12" s="1"/>
  <c r="L20" i="12"/>
  <c r="N20" i="12"/>
  <c r="L15" i="12"/>
  <c r="L14" i="12"/>
  <c r="L12" i="12"/>
  <c r="L11" i="12"/>
  <c r="L8" i="12"/>
  <c r="L7" i="12"/>
  <c r="L6" i="12"/>
  <c r="K149" i="12"/>
  <c r="J6" i="12" s="1"/>
  <c r="K151" i="12"/>
  <c r="J8" i="12"/>
  <c r="K153" i="12"/>
  <c r="J9" i="12"/>
  <c r="N9" i="12" s="1"/>
  <c r="K156" i="12"/>
  <c r="J12" i="12"/>
  <c r="K157" i="12"/>
  <c r="J13" i="12" s="1"/>
  <c r="K158" i="12"/>
  <c r="J14" i="12" s="1"/>
  <c r="K159" i="12"/>
  <c r="J15" i="12" s="1"/>
  <c r="K160" i="12"/>
  <c r="J16" i="12"/>
  <c r="K164" i="12"/>
  <c r="J20" i="12" s="1"/>
  <c r="K165" i="12"/>
  <c r="J21" i="12" s="1"/>
  <c r="N21" i="12" s="1"/>
  <c r="O21" i="12" s="1"/>
  <c r="K166" i="12"/>
  <c r="K167" i="12"/>
  <c r="J23" i="12" s="1"/>
  <c r="K148" i="12"/>
  <c r="J5" i="12"/>
  <c r="L5" i="12"/>
  <c r="K52" i="10"/>
  <c r="T2436" i="1"/>
  <c r="X2450" i="1"/>
  <c r="Y2450" i="1"/>
  <c r="X2587" i="1"/>
  <c r="Y2587" i="1"/>
  <c r="X2588" i="1"/>
  <c r="Y2588" i="1"/>
  <c r="X2589" i="1"/>
  <c r="Y2589" i="1"/>
  <c r="X2604" i="1"/>
  <c r="Y2604" i="1"/>
  <c r="X2590" i="1"/>
  <c r="Y2590" i="1"/>
  <c r="X2591" i="1"/>
  <c r="Y2591" i="1"/>
  <c r="X2592" i="1"/>
  <c r="Y2592" i="1"/>
  <c r="X2593" i="1"/>
  <c r="Y2593" i="1"/>
  <c r="X2594" i="1"/>
  <c r="Y2594" i="1"/>
  <c r="X2595" i="1"/>
  <c r="Y2595" i="1"/>
  <c r="X2596" i="1"/>
  <c r="Y2596" i="1"/>
  <c r="X2597" i="1"/>
  <c r="Y2597" i="1"/>
  <c r="X2600" i="1"/>
  <c r="Y2600" i="1"/>
  <c r="X2601" i="1"/>
  <c r="Y2601" i="1"/>
  <c r="X2602" i="1"/>
  <c r="Y2602" i="1"/>
  <c r="X2603" i="1"/>
  <c r="Y2603" i="1"/>
  <c r="Y2586" i="1"/>
  <c r="X2586" i="1"/>
  <c r="X2562" i="1"/>
  <c r="Y2562" i="1"/>
  <c r="X2563" i="1"/>
  <c r="Y2563" i="1"/>
  <c r="X2564" i="1"/>
  <c r="Y2564" i="1"/>
  <c r="X2579" i="1"/>
  <c r="Y2579" i="1"/>
  <c r="X2565" i="1"/>
  <c r="Y2565" i="1"/>
  <c r="X2566" i="1"/>
  <c r="Y2566" i="1"/>
  <c r="X2567" i="1"/>
  <c r="Y2567" i="1"/>
  <c r="X2568" i="1"/>
  <c r="Y2568" i="1"/>
  <c r="X2569" i="1"/>
  <c r="Y2569" i="1"/>
  <c r="X2570" i="1"/>
  <c r="Y2570" i="1"/>
  <c r="X2571" i="1"/>
  <c r="Y2571" i="1"/>
  <c r="X2572" i="1"/>
  <c r="Y2572" i="1"/>
  <c r="X2575" i="1"/>
  <c r="Y2575" i="1"/>
  <c r="X2576" i="1"/>
  <c r="Y2576" i="1"/>
  <c r="X2577" i="1"/>
  <c r="Y2577" i="1"/>
  <c r="X2578" i="1"/>
  <c r="Y2578" i="1"/>
  <c r="Y2561" i="1"/>
  <c r="X2561" i="1"/>
  <c r="X2537" i="1"/>
  <c r="Y2537" i="1"/>
  <c r="X2538" i="1"/>
  <c r="Y2538" i="1"/>
  <c r="X2554" i="1"/>
  <c r="Y2554" i="1"/>
  <c r="X2540" i="1"/>
  <c r="Y2540" i="1"/>
  <c r="X2541" i="1"/>
  <c r="Y2541" i="1"/>
  <c r="X2542" i="1"/>
  <c r="Y2542" i="1"/>
  <c r="X2543" i="1"/>
  <c r="Y2543" i="1"/>
  <c r="X2544" i="1"/>
  <c r="Y2544" i="1"/>
  <c r="X2545" i="1"/>
  <c r="Y2545" i="1"/>
  <c r="X2546" i="1"/>
  <c r="Y2546" i="1"/>
  <c r="X2547" i="1"/>
  <c r="Y2547" i="1"/>
  <c r="X2550" i="1"/>
  <c r="Y2550" i="1"/>
  <c r="X2551" i="1"/>
  <c r="Y2551" i="1"/>
  <c r="X2552" i="1"/>
  <c r="Y2552" i="1"/>
  <c r="X2553" i="1"/>
  <c r="Y2553" i="1"/>
  <c r="X2555" i="1"/>
  <c r="Y2555" i="1"/>
  <c r="X2557" i="1"/>
  <c r="Y2557" i="1"/>
  <c r="Y2536" i="1"/>
  <c r="X2536" i="1"/>
  <c r="X2512" i="1"/>
  <c r="Y2512" i="1"/>
  <c r="X2513" i="1"/>
  <c r="Y2513" i="1"/>
  <c r="X2514" i="1"/>
  <c r="Y2514" i="1"/>
  <c r="X2529" i="1"/>
  <c r="Y2529" i="1"/>
  <c r="X2515" i="1"/>
  <c r="Y2515" i="1"/>
  <c r="X2516" i="1"/>
  <c r="Y2516" i="1"/>
  <c r="X2517" i="1"/>
  <c r="Y2517" i="1"/>
  <c r="X2518" i="1"/>
  <c r="Y2518" i="1"/>
  <c r="X2519" i="1"/>
  <c r="Y2519" i="1"/>
  <c r="X2520" i="1"/>
  <c r="Y2520" i="1"/>
  <c r="X2521" i="1"/>
  <c r="Y2521" i="1"/>
  <c r="X2522" i="1"/>
  <c r="Y2522" i="1"/>
  <c r="X2525" i="1"/>
  <c r="Y2525" i="1"/>
  <c r="X2526" i="1"/>
  <c r="Y2526" i="1"/>
  <c r="X2527" i="1"/>
  <c r="Y2527" i="1"/>
  <c r="X2528" i="1"/>
  <c r="Y2528" i="1"/>
  <c r="X2530" i="1"/>
  <c r="Y2530" i="1"/>
  <c r="X2511" i="1"/>
  <c r="Y2511" i="1"/>
  <c r="X2487" i="1"/>
  <c r="Y2487" i="1"/>
  <c r="X2488" i="1"/>
  <c r="Y2488" i="1"/>
  <c r="X2489" i="1"/>
  <c r="Y2489" i="1"/>
  <c r="X2490" i="1"/>
  <c r="Y2490" i="1"/>
  <c r="X2491" i="1"/>
  <c r="Y2491" i="1"/>
  <c r="X2492" i="1"/>
  <c r="Y2492" i="1"/>
  <c r="X2493" i="1"/>
  <c r="Y2493" i="1"/>
  <c r="X2494" i="1"/>
  <c r="Y2494" i="1"/>
  <c r="X2495" i="1"/>
  <c r="Y2495" i="1"/>
  <c r="X2496" i="1"/>
  <c r="Y2496" i="1"/>
  <c r="X2497" i="1"/>
  <c r="Y2497" i="1"/>
  <c r="X2500" i="1"/>
  <c r="Y2500" i="1"/>
  <c r="X2501" i="1"/>
  <c r="Y2501" i="1"/>
  <c r="X2502" i="1"/>
  <c r="Y2502" i="1"/>
  <c r="X2503" i="1"/>
  <c r="Y2503" i="1"/>
  <c r="Y2486" i="1"/>
  <c r="X2486" i="1"/>
  <c r="X2462" i="1"/>
  <c r="Y2462" i="1"/>
  <c r="X2463" i="1"/>
  <c r="Y2463" i="1"/>
  <c r="X2479" i="1"/>
  <c r="Y2479" i="1"/>
  <c r="X2465" i="1"/>
  <c r="Y2465" i="1"/>
  <c r="X2466" i="1"/>
  <c r="Y2466" i="1"/>
  <c r="X2467" i="1"/>
  <c r="Y2467" i="1"/>
  <c r="X2468" i="1"/>
  <c r="Y2468" i="1"/>
  <c r="X2469" i="1"/>
  <c r="Y2469" i="1"/>
  <c r="X2470" i="1"/>
  <c r="Y2470" i="1"/>
  <c r="X2471" i="1"/>
  <c r="Y2471" i="1"/>
  <c r="X2472" i="1"/>
  <c r="Y2472" i="1"/>
  <c r="X2473" i="1"/>
  <c r="Y2473" i="1"/>
  <c r="X2475" i="1"/>
  <c r="Y2475" i="1"/>
  <c r="X2476" i="1"/>
  <c r="Y2476" i="1"/>
  <c r="X2477" i="1"/>
  <c r="Y2477" i="1"/>
  <c r="X2478" i="1"/>
  <c r="Y2478" i="1"/>
  <c r="Y2461" i="1"/>
  <c r="X2461" i="1"/>
  <c r="X2437" i="1"/>
  <c r="Y2437" i="1"/>
  <c r="X2438" i="1"/>
  <c r="X2454" i="1"/>
  <c r="Y2454" i="1"/>
  <c r="X2440" i="1"/>
  <c r="Y2440" i="1"/>
  <c r="X2441" i="1"/>
  <c r="Y2441" i="1"/>
  <c r="X2442" i="1"/>
  <c r="Y2442" i="1"/>
  <c r="X2443" i="1"/>
  <c r="Y2443" i="1"/>
  <c r="X2444" i="1"/>
  <c r="Y2444" i="1"/>
  <c r="X2445" i="1"/>
  <c r="Y2445" i="1"/>
  <c r="X2446" i="1"/>
  <c r="Y2446" i="1"/>
  <c r="X2447" i="1"/>
  <c r="Y2447" i="1"/>
  <c r="X2451" i="1"/>
  <c r="Y2451" i="1"/>
  <c r="X2452" i="1"/>
  <c r="Y2452" i="1"/>
  <c r="X2453" i="1"/>
  <c r="Y2453" i="1"/>
  <c r="Y2436" i="1"/>
  <c r="X2436" i="1"/>
  <c r="U2436" i="1"/>
  <c r="Q2587" i="1"/>
  <c r="R2587" i="1"/>
  <c r="S2587" i="1"/>
  <c r="T2587" i="1"/>
  <c r="G191" i="11" s="1"/>
  <c r="K191" i="11" s="1"/>
  <c r="L191" i="11" s="1"/>
  <c r="U2587" i="1"/>
  <c r="Q2588" i="1"/>
  <c r="R2588" i="1"/>
  <c r="S2588" i="1"/>
  <c r="T2588" i="1"/>
  <c r="U2588" i="1"/>
  <c r="Q2589" i="1"/>
  <c r="R2589" i="1"/>
  <c r="S2589" i="1"/>
  <c r="T2589" i="1"/>
  <c r="G193" i="11" s="1"/>
  <c r="N193" i="11" s="1"/>
  <c r="O193" i="11" s="1"/>
  <c r="U2589" i="1"/>
  <c r="Q2604" i="1"/>
  <c r="Q2590" i="1"/>
  <c r="R2590" i="1"/>
  <c r="S2590" i="1"/>
  <c r="T2590" i="1"/>
  <c r="G194" i="11" s="1"/>
  <c r="U2590" i="1"/>
  <c r="Q2591" i="1"/>
  <c r="R2591" i="1"/>
  <c r="S2591" i="1"/>
  <c r="T2591" i="1"/>
  <c r="G195" i="11" s="1"/>
  <c r="U2591" i="1"/>
  <c r="Q2592" i="1"/>
  <c r="R2592" i="1"/>
  <c r="S2592" i="1"/>
  <c r="T2592" i="1"/>
  <c r="U2592" i="1"/>
  <c r="Q2593" i="1"/>
  <c r="R2593" i="1"/>
  <c r="S2593" i="1"/>
  <c r="T2593" i="1"/>
  <c r="G197" i="11" s="1"/>
  <c r="U2593" i="1"/>
  <c r="Q2594" i="1"/>
  <c r="R2594" i="1"/>
  <c r="S2594" i="1"/>
  <c r="T2594" i="1"/>
  <c r="U2594" i="1"/>
  <c r="Q2595" i="1"/>
  <c r="R2595" i="1"/>
  <c r="S2595" i="1"/>
  <c r="T2595" i="1"/>
  <c r="U2595" i="1"/>
  <c r="Q2596" i="1"/>
  <c r="R2596" i="1"/>
  <c r="S2596" i="1"/>
  <c r="T2596" i="1"/>
  <c r="U2596" i="1"/>
  <c r="Q2597" i="1"/>
  <c r="R2597" i="1"/>
  <c r="S2597" i="1"/>
  <c r="T2597" i="1"/>
  <c r="G201" i="11" s="1"/>
  <c r="U2597" i="1"/>
  <c r="Q2600" i="1"/>
  <c r="R2600" i="1"/>
  <c r="S2600" i="1"/>
  <c r="T2600" i="1"/>
  <c r="G205" i="11" s="1"/>
  <c r="N205" i="11" s="1"/>
  <c r="O205" i="11" s="1"/>
  <c r="U2600" i="1"/>
  <c r="Q2601" i="1"/>
  <c r="R2601" i="1"/>
  <c r="S2601" i="1"/>
  <c r="T2601" i="1"/>
  <c r="G206" i="11" s="1"/>
  <c r="N206" i="11" s="1"/>
  <c r="O206" i="11" s="1"/>
  <c r="U2601" i="1"/>
  <c r="Q2602" i="1"/>
  <c r="R2602" i="1"/>
  <c r="S2602" i="1"/>
  <c r="T2602" i="1"/>
  <c r="U2602" i="1"/>
  <c r="R2603" i="1"/>
  <c r="S2603" i="1"/>
  <c r="T2603" i="1"/>
  <c r="G208" i="11" s="1"/>
  <c r="N208" i="11" s="1"/>
  <c r="O208" i="11" s="1"/>
  <c r="U2603" i="1"/>
  <c r="U2586" i="1"/>
  <c r="T2586" i="1"/>
  <c r="G190" i="11" s="1"/>
  <c r="N190" i="11" s="1"/>
  <c r="O190" i="11" s="1"/>
  <c r="S2586" i="1"/>
  <c r="R2586" i="1"/>
  <c r="Q2586" i="1"/>
  <c r="Q2562" i="1"/>
  <c r="R2562" i="1"/>
  <c r="S2562" i="1"/>
  <c r="T2562" i="1"/>
  <c r="G161" i="11" s="1"/>
  <c r="K161" i="11" s="1"/>
  <c r="L161" i="11" s="1"/>
  <c r="U2562" i="1"/>
  <c r="Q2563" i="1"/>
  <c r="R2563" i="1"/>
  <c r="S2563" i="1"/>
  <c r="T2563" i="1"/>
  <c r="G162" i="11" s="1"/>
  <c r="K162" i="11" s="1"/>
  <c r="L162" i="11" s="1"/>
  <c r="U2563" i="1"/>
  <c r="Q2564" i="1"/>
  <c r="R2564" i="1"/>
  <c r="S2564" i="1"/>
  <c r="T2564" i="1"/>
  <c r="G163" i="11" s="1"/>
  <c r="N163" i="11" s="1"/>
  <c r="O163" i="11" s="1"/>
  <c r="U2564" i="1"/>
  <c r="R2579" i="1"/>
  <c r="S2579" i="1"/>
  <c r="T2579" i="1"/>
  <c r="G179" i="11" s="1"/>
  <c r="U2579" i="1"/>
  <c r="Q2565" i="1"/>
  <c r="R2565" i="1"/>
  <c r="S2565" i="1"/>
  <c r="T2565" i="1"/>
  <c r="G164" i="11" s="1"/>
  <c r="N164" i="11" s="1"/>
  <c r="O164" i="11" s="1"/>
  <c r="U2565" i="1"/>
  <c r="Q2566" i="1"/>
  <c r="R2566" i="1"/>
  <c r="S2566" i="1"/>
  <c r="T2566" i="1"/>
  <c r="G165" i="11" s="1"/>
  <c r="U2566" i="1"/>
  <c r="Q2567" i="1"/>
  <c r="R2567" i="1"/>
  <c r="S2567" i="1"/>
  <c r="T2567" i="1"/>
  <c r="G166" i="11" s="1"/>
  <c r="N166" i="11" s="1"/>
  <c r="O166" i="11" s="1"/>
  <c r="U2567" i="1"/>
  <c r="Q2568" i="1"/>
  <c r="R2568" i="1"/>
  <c r="S2568" i="1"/>
  <c r="T2568" i="1"/>
  <c r="G167" i="11" s="1"/>
  <c r="N167" i="11" s="1"/>
  <c r="O167" i="11" s="1"/>
  <c r="U2568" i="1"/>
  <c r="Q2569" i="1"/>
  <c r="R2569" i="1"/>
  <c r="S2569" i="1"/>
  <c r="T2569" i="1"/>
  <c r="U2569" i="1"/>
  <c r="Q2570" i="1"/>
  <c r="R2570" i="1"/>
  <c r="S2570" i="1"/>
  <c r="T2570" i="1"/>
  <c r="G169" i="11" s="1"/>
  <c r="N169" i="11" s="1"/>
  <c r="O169" i="11" s="1"/>
  <c r="U2570" i="1"/>
  <c r="Q2571" i="1"/>
  <c r="R2571" i="1"/>
  <c r="S2571" i="1"/>
  <c r="T2571" i="1"/>
  <c r="G170" i="11" s="1"/>
  <c r="N170" i="11" s="1"/>
  <c r="O170" i="11" s="1"/>
  <c r="U2571" i="1"/>
  <c r="Q2572" i="1"/>
  <c r="R2572" i="1"/>
  <c r="S2572" i="1"/>
  <c r="T2572" i="1"/>
  <c r="U2572" i="1"/>
  <c r="Q2575" i="1"/>
  <c r="R2575" i="1"/>
  <c r="S2575" i="1"/>
  <c r="T2575" i="1"/>
  <c r="G175" i="11" s="1"/>
  <c r="U2575" i="1"/>
  <c r="Q2576" i="1"/>
  <c r="R2576" i="1"/>
  <c r="S2576" i="1"/>
  <c r="T2576" i="1"/>
  <c r="G176" i="11" s="1"/>
  <c r="N176" i="11" s="1"/>
  <c r="O176" i="11" s="1"/>
  <c r="U2576" i="1"/>
  <c r="Q2577" i="1"/>
  <c r="R2577" i="1"/>
  <c r="S2577" i="1"/>
  <c r="T2577" i="1"/>
  <c r="U2577" i="1"/>
  <c r="Q2578" i="1"/>
  <c r="R2578" i="1"/>
  <c r="S2578" i="1"/>
  <c r="T2578" i="1"/>
  <c r="G178" i="11" s="1"/>
  <c r="N178" i="11" s="1"/>
  <c r="O178" i="11" s="1"/>
  <c r="U2578" i="1"/>
  <c r="U2561" i="1"/>
  <c r="T2561" i="1"/>
  <c r="G160" i="11" s="1"/>
  <c r="N160" i="11" s="1"/>
  <c r="O160" i="11" s="1"/>
  <c r="S2561" i="1"/>
  <c r="R2561" i="1"/>
  <c r="Q2561" i="1"/>
  <c r="Q2537" i="1"/>
  <c r="R2537" i="1"/>
  <c r="S2537" i="1"/>
  <c r="T2537" i="1"/>
  <c r="U2537" i="1"/>
  <c r="Q2538" i="1"/>
  <c r="R2538" i="1"/>
  <c r="S2538" i="1"/>
  <c r="T2538" i="1"/>
  <c r="G132" i="11" s="1"/>
  <c r="U2538" i="1"/>
  <c r="Q2554" i="1"/>
  <c r="R2554" i="1"/>
  <c r="S2554" i="1"/>
  <c r="T2554" i="1"/>
  <c r="U2554" i="1"/>
  <c r="Q2540" i="1"/>
  <c r="R2540" i="1"/>
  <c r="S2540" i="1"/>
  <c r="T2540" i="1"/>
  <c r="G134" i="11" s="1"/>
  <c r="N134" i="11" s="1"/>
  <c r="O134" i="11" s="1"/>
  <c r="U2540" i="1"/>
  <c r="Q2541" i="1"/>
  <c r="R2541" i="1"/>
  <c r="S2541" i="1"/>
  <c r="T2541" i="1"/>
  <c r="G135" i="11" s="1"/>
  <c r="U2541" i="1"/>
  <c r="Q2542" i="1"/>
  <c r="R2542" i="1"/>
  <c r="S2542" i="1"/>
  <c r="T2542" i="1"/>
  <c r="G136" i="11" s="1"/>
  <c r="N136" i="11" s="1"/>
  <c r="O136" i="11" s="1"/>
  <c r="U2542" i="1"/>
  <c r="Q2543" i="1"/>
  <c r="R2543" i="1"/>
  <c r="S2543" i="1"/>
  <c r="T2543" i="1"/>
  <c r="U2543" i="1"/>
  <c r="Q2544" i="1"/>
  <c r="R2544" i="1"/>
  <c r="S2544" i="1"/>
  <c r="T2544" i="1"/>
  <c r="G138" i="11" s="1"/>
  <c r="K138" i="11" s="1"/>
  <c r="L138" i="11" s="1"/>
  <c r="U2544" i="1"/>
  <c r="Q2545" i="1"/>
  <c r="R2545" i="1"/>
  <c r="S2545" i="1"/>
  <c r="T2545" i="1"/>
  <c r="U2545" i="1"/>
  <c r="Q2546" i="1"/>
  <c r="R2546" i="1"/>
  <c r="S2546" i="1"/>
  <c r="T2546" i="1"/>
  <c r="G140" i="11" s="1"/>
  <c r="N140" i="11" s="1"/>
  <c r="O140" i="11" s="1"/>
  <c r="U2546" i="1"/>
  <c r="Q2547" i="1"/>
  <c r="R2547" i="1"/>
  <c r="S2547" i="1"/>
  <c r="T2547" i="1"/>
  <c r="U2547" i="1"/>
  <c r="Q2550" i="1"/>
  <c r="R2550" i="1"/>
  <c r="S2550" i="1"/>
  <c r="T2550" i="1"/>
  <c r="U2550" i="1"/>
  <c r="Q2551" i="1"/>
  <c r="R2551" i="1"/>
  <c r="S2551" i="1"/>
  <c r="T2551" i="1"/>
  <c r="G146" i="11" s="1"/>
  <c r="U2551" i="1"/>
  <c r="Q2552" i="1"/>
  <c r="R2552" i="1"/>
  <c r="S2552" i="1"/>
  <c r="T2552" i="1"/>
  <c r="U2552" i="1"/>
  <c r="Q2553" i="1"/>
  <c r="U2536" i="1"/>
  <c r="T2536" i="1"/>
  <c r="G130" i="11" s="1"/>
  <c r="N130" i="11" s="1"/>
  <c r="O130" i="11" s="1"/>
  <c r="S2536" i="1"/>
  <c r="R2536" i="1"/>
  <c r="Q2536" i="1"/>
  <c r="Q2512" i="1"/>
  <c r="R2512" i="1"/>
  <c r="S2512" i="1"/>
  <c r="T2512" i="1"/>
  <c r="U2512" i="1"/>
  <c r="Q2513" i="1"/>
  <c r="R2513" i="1"/>
  <c r="S2513" i="1"/>
  <c r="T2513" i="1"/>
  <c r="G102" i="11" s="1"/>
  <c r="N102" i="11" s="1"/>
  <c r="O102" i="11" s="1"/>
  <c r="U2513" i="1"/>
  <c r="Q2514" i="1"/>
  <c r="R2514" i="1"/>
  <c r="S2514" i="1"/>
  <c r="T2514" i="1"/>
  <c r="G103" i="11" s="1"/>
  <c r="N103" i="11" s="1"/>
  <c r="O103" i="11" s="1"/>
  <c r="U2514" i="1"/>
  <c r="Q2529" i="1"/>
  <c r="R2529" i="1"/>
  <c r="S2529" i="1"/>
  <c r="T2529" i="1"/>
  <c r="G119" i="11" s="1"/>
  <c r="U2529" i="1"/>
  <c r="Q2515" i="1"/>
  <c r="R2515" i="1"/>
  <c r="S2515" i="1"/>
  <c r="T2515" i="1"/>
  <c r="U2515" i="1"/>
  <c r="Q2516" i="1"/>
  <c r="R2516" i="1"/>
  <c r="S2516" i="1"/>
  <c r="T2516" i="1"/>
  <c r="G105" i="11" s="1"/>
  <c r="U2516" i="1"/>
  <c r="Q2517" i="1"/>
  <c r="R2517" i="1"/>
  <c r="S2517" i="1"/>
  <c r="T2517" i="1"/>
  <c r="U2517" i="1"/>
  <c r="Q2518" i="1"/>
  <c r="R2518" i="1"/>
  <c r="S2518" i="1"/>
  <c r="T2518" i="1"/>
  <c r="G107" i="11" s="1"/>
  <c r="K107" i="11" s="1"/>
  <c r="L107" i="11" s="1"/>
  <c r="U2518" i="1"/>
  <c r="Q2519" i="1"/>
  <c r="R2519" i="1"/>
  <c r="S2519" i="1"/>
  <c r="T2519" i="1"/>
  <c r="G108" i="11" s="1"/>
  <c r="U2519" i="1"/>
  <c r="Q2520" i="1"/>
  <c r="R2520" i="1"/>
  <c r="S2520" i="1"/>
  <c r="T2520" i="1"/>
  <c r="G109" i="11" s="1"/>
  <c r="K109" i="11" s="1"/>
  <c r="L109" i="11" s="1"/>
  <c r="U2520" i="1"/>
  <c r="Q2521" i="1"/>
  <c r="R2521" i="1"/>
  <c r="S2521" i="1"/>
  <c r="T2521" i="1"/>
  <c r="G110" i="11" s="1"/>
  <c r="K110" i="11" s="1"/>
  <c r="L110" i="11" s="1"/>
  <c r="U2521" i="1"/>
  <c r="Q2522" i="1"/>
  <c r="R2522" i="1"/>
  <c r="S2522" i="1"/>
  <c r="T2522" i="1"/>
  <c r="G111" i="11" s="1"/>
  <c r="N111" i="11" s="1"/>
  <c r="O111" i="11" s="1"/>
  <c r="U2522" i="1"/>
  <c r="Q2525" i="1"/>
  <c r="R2525" i="1"/>
  <c r="S2525" i="1"/>
  <c r="T2525" i="1"/>
  <c r="G115" i="11" s="1"/>
  <c r="N115" i="11" s="1"/>
  <c r="O115" i="11" s="1"/>
  <c r="U2525" i="1"/>
  <c r="Q2526" i="1"/>
  <c r="R2526" i="1"/>
  <c r="S2526" i="1"/>
  <c r="T2526" i="1"/>
  <c r="G116" i="11" s="1"/>
  <c r="N116" i="11" s="1"/>
  <c r="O116" i="11" s="1"/>
  <c r="U2526" i="1"/>
  <c r="Q2527" i="1"/>
  <c r="R2527" i="1"/>
  <c r="S2527" i="1"/>
  <c r="T2527" i="1"/>
  <c r="G117" i="11" s="1"/>
  <c r="U2527" i="1"/>
  <c r="Q2528" i="1"/>
  <c r="R2528" i="1"/>
  <c r="S2528" i="1"/>
  <c r="T2528" i="1"/>
  <c r="G118" i="11" s="1"/>
  <c r="N118" i="11" s="1"/>
  <c r="O118" i="11" s="1"/>
  <c r="U2528" i="1"/>
  <c r="Q2530" i="1"/>
  <c r="R2530" i="1"/>
  <c r="S2530" i="1"/>
  <c r="T2530" i="1"/>
  <c r="U2530" i="1"/>
  <c r="U2511" i="1"/>
  <c r="T2511" i="1"/>
  <c r="S2511" i="1"/>
  <c r="R2511" i="1"/>
  <c r="Q2511" i="1"/>
  <c r="Q2487" i="1"/>
  <c r="R2487" i="1"/>
  <c r="S2487" i="1"/>
  <c r="T2487" i="1"/>
  <c r="U2487" i="1"/>
  <c r="Q2488" i="1"/>
  <c r="R2488" i="1"/>
  <c r="S2488" i="1"/>
  <c r="T2488" i="1"/>
  <c r="G72" i="11" s="1"/>
  <c r="U2488" i="1"/>
  <c r="Q2489" i="1"/>
  <c r="R2489" i="1"/>
  <c r="S2489" i="1"/>
  <c r="T2489" i="1"/>
  <c r="U2489" i="1"/>
  <c r="Q2504" i="1"/>
  <c r="R2504" i="1"/>
  <c r="S2504" i="1"/>
  <c r="T2504" i="1"/>
  <c r="G89" i="11" s="1"/>
  <c r="U2504" i="1"/>
  <c r="Q2490" i="1"/>
  <c r="R2490" i="1"/>
  <c r="S2490" i="1"/>
  <c r="T2490" i="1"/>
  <c r="U2490" i="1"/>
  <c r="Q2491" i="1"/>
  <c r="R2491" i="1"/>
  <c r="S2491" i="1"/>
  <c r="T2491" i="1"/>
  <c r="U2491" i="1"/>
  <c r="Q2492" i="1"/>
  <c r="R2492" i="1"/>
  <c r="S2492" i="1"/>
  <c r="T2492" i="1"/>
  <c r="U2492" i="1"/>
  <c r="Q2493" i="1"/>
  <c r="R2493" i="1"/>
  <c r="S2493" i="1"/>
  <c r="T2493" i="1"/>
  <c r="G77" i="11" s="1"/>
  <c r="U2493" i="1"/>
  <c r="Q2494" i="1"/>
  <c r="R2494" i="1"/>
  <c r="S2494" i="1"/>
  <c r="T2494" i="1"/>
  <c r="G78" i="11" s="1"/>
  <c r="K78" i="11" s="1"/>
  <c r="L78" i="11" s="1"/>
  <c r="U2494" i="1"/>
  <c r="Q2495" i="1"/>
  <c r="R2495" i="1"/>
  <c r="S2495" i="1"/>
  <c r="T2495" i="1"/>
  <c r="U2495" i="1"/>
  <c r="Q2496" i="1"/>
  <c r="R2496" i="1"/>
  <c r="S2496" i="1"/>
  <c r="T2496" i="1"/>
  <c r="G80" i="11" s="1"/>
  <c r="K80" i="11" s="1"/>
  <c r="L80" i="11" s="1"/>
  <c r="U2496" i="1"/>
  <c r="Q2497" i="1"/>
  <c r="R2497" i="1"/>
  <c r="S2497" i="1"/>
  <c r="T2497" i="1"/>
  <c r="U2497" i="1"/>
  <c r="Q2500" i="1"/>
  <c r="R2500" i="1"/>
  <c r="S2500" i="1"/>
  <c r="T2500" i="1"/>
  <c r="U2500" i="1"/>
  <c r="Q2501" i="1"/>
  <c r="R2501" i="1"/>
  <c r="S2501" i="1"/>
  <c r="T2501" i="1"/>
  <c r="U2501" i="1"/>
  <c r="Q2502" i="1"/>
  <c r="R2502" i="1"/>
  <c r="S2502" i="1"/>
  <c r="T2502" i="1"/>
  <c r="U2502" i="1"/>
  <c r="Q2503" i="1"/>
  <c r="R2503" i="1"/>
  <c r="S2503" i="1"/>
  <c r="T2503" i="1"/>
  <c r="G88" i="11" s="1"/>
  <c r="N88" i="11" s="1"/>
  <c r="O88" i="11" s="1"/>
  <c r="U2503" i="1"/>
  <c r="U2486" i="1"/>
  <c r="T2486" i="1"/>
  <c r="S2486" i="1"/>
  <c r="Q2486" i="1"/>
  <c r="Q2462" i="1"/>
  <c r="R2462" i="1"/>
  <c r="S2462" i="1"/>
  <c r="T2462" i="1"/>
  <c r="G41" i="11" s="1"/>
  <c r="K41" i="11" s="1"/>
  <c r="L41" i="11" s="1"/>
  <c r="U2462" i="1"/>
  <c r="Q2463" i="1"/>
  <c r="R2463" i="1"/>
  <c r="S2463" i="1"/>
  <c r="T2463" i="1"/>
  <c r="U2463" i="1"/>
  <c r="Q2479" i="1"/>
  <c r="R2479" i="1"/>
  <c r="S2479" i="1"/>
  <c r="T2479" i="1"/>
  <c r="U2479" i="1"/>
  <c r="Q2465" i="1"/>
  <c r="R2465" i="1"/>
  <c r="S2465" i="1"/>
  <c r="T2465" i="1"/>
  <c r="U2465" i="1"/>
  <c r="Q2466" i="1"/>
  <c r="R2466" i="1"/>
  <c r="S2466" i="1"/>
  <c r="T2466" i="1"/>
  <c r="G45" i="11" s="1"/>
  <c r="U2466" i="1"/>
  <c r="Q2467" i="1"/>
  <c r="R2467" i="1"/>
  <c r="S2467" i="1"/>
  <c r="T2467" i="1"/>
  <c r="G46" i="11" s="1"/>
  <c r="N46" i="11" s="1"/>
  <c r="O46" i="11" s="1"/>
  <c r="U2467" i="1"/>
  <c r="Q2468" i="1"/>
  <c r="R2468" i="1"/>
  <c r="S2468" i="1"/>
  <c r="T2468" i="1"/>
  <c r="U2468" i="1"/>
  <c r="Q2469" i="1"/>
  <c r="R2469" i="1"/>
  <c r="S2469" i="1"/>
  <c r="T2469" i="1"/>
  <c r="G48" i="11" s="1"/>
  <c r="U2469" i="1"/>
  <c r="Q2470" i="1"/>
  <c r="R2470" i="1"/>
  <c r="S2470" i="1"/>
  <c r="T2470" i="1"/>
  <c r="G49" i="11" s="1"/>
  <c r="K49" i="11" s="1"/>
  <c r="L49" i="11" s="1"/>
  <c r="U2470" i="1"/>
  <c r="Q2471" i="1"/>
  <c r="R2471" i="1"/>
  <c r="S2471" i="1"/>
  <c r="T2471" i="1"/>
  <c r="G50" i="11" s="1"/>
  <c r="U2471" i="1"/>
  <c r="Q2472" i="1"/>
  <c r="R2472" i="1"/>
  <c r="S2472" i="1"/>
  <c r="T2472" i="1"/>
  <c r="U2472" i="1"/>
  <c r="Q2473" i="1"/>
  <c r="R2473" i="1"/>
  <c r="S2473" i="1"/>
  <c r="T2473" i="1"/>
  <c r="U2473" i="1"/>
  <c r="Q2475" i="1"/>
  <c r="R2475" i="1"/>
  <c r="S2475" i="1"/>
  <c r="T2475" i="1"/>
  <c r="G55" i="11" s="1"/>
  <c r="N55" i="11" s="1"/>
  <c r="O55" i="11" s="1"/>
  <c r="U2475" i="1"/>
  <c r="Q2476" i="1"/>
  <c r="R2476" i="1"/>
  <c r="S2476" i="1"/>
  <c r="T2476" i="1"/>
  <c r="U2476" i="1"/>
  <c r="Q2477" i="1"/>
  <c r="R2477" i="1"/>
  <c r="S2477" i="1"/>
  <c r="T2477" i="1"/>
  <c r="G57" i="11" s="1"/>
  <c r="K57" i="11" s="1"/>
  <c r="L57" i="11" s="1"/>
  <c r="U2477" i="1"/>
  <c r="Q2478" i="1"/>
  <c r="R2478" i="1"/>
  <c r="S2478" i="1"/>
  <c r="T2478" i="1"/>
  <c r="U2478" i="1"/>
  <c r="U2461" i="1"/>
  <c r="T2461" i="1"/>
  <c r="S2461" i="1"/>
  <c r="R2461" i="1"/>
  <c r="Q2461" i="1"/>
  <c r="Q2437" i="1"/>
  <c r="R2437" i="1"/>
  <c r="S2437" i="1"/>
  <c r="T2437" i="1"/>
  <c r="G11" i="11" s="1"/>
  <c r="N11" i="11" s="1"/>
  <c r="O11" i="11" s="1"/>
  <c r="U2437" i="1"/>
  <c r="S2438" i="1"/>
  <c r="T2438" i="1"/>
  <c r="G12" i="11" s="1"/>
  <c r="K12" i="11" s="1"/>
  <c r="L12" i="11" s="1"/>
  <c r="Q2454" i="1"/>
  <c r="R2454" i="1"/>
  <c r="S2454" i="1"/>
  <c r="T2454" i="1"/>
  <c r="G29" i="11" s="1"/>
  <c r="U2454" i="1"/>
  <c r="Q2440" i="1"/>
  <c r="R2440" i="1"/>
  <c r="S2440" i="1"/>
  <c r="T2440" i="1"/>
  <c r="U2440" i="1"/>
  <c r="Q2441" i="1"/>
  <c r="R2441" i="1"/>
  <c r="S2441" i="1"/>
  <c r="T2441" i="1"/>
  <c r="G15" i="11" s="1"/>
  <c r="U2441" i="1"/>
  <c r="Q2442" i="1"/>
  <c r="R2442" i="1"/>
  <c r="S2442" i="1"/>
  <c r="T2442" i="1"/>
  <c r="G16" i="11" s="1"/>
  <c r="N16" i="11" s="1"/>
  <c r="O16" i="11" s="1"/>
  <c r="U2442" i="1"/>
  <c r="Q2443" i="1"/>
  <c r="R2443" i="1"/>
  <c r="S2443" i="1"/>
  <c r="T2443" i="1"/>
  <c r="U2443" i="1"/>
  <c r="Q2444" i="1"/>
  <c r="R2444" i="1"/>
  <c r="S2444" i="1"/>
  <c r="T2444" i="1"/>
  <c r="U2444" i="1"/>
  <c r="Q2445" i="1"/>
  <c r="R2445" i="1"/>
  <c r="S2445" i="1"/>
  <c r="T2445" i="1"/>
  <c r="U2445" i="1"/>
  <c r="Q2446" i="1"/>
  <c r="R2446" i="1"/>
  <c r="S2446" i="1"/>
  <c r="T2446" i="1"/>
  <c r="G20" i="11" s="1"/>
  <c r="U2446" i="1"/>
  <c r="Q2447" i="1"/>
  <c r="R2447" i="1"/>
  <c r="S2447" i="1"/>
  <c r="T2447" i="1"/>
  <c r="G21" i="11" s="1"/>
  <c r="N21" i="11" s="1"/>
  <c r="O21" i="11" s="1"/>
  <c r="U2447" i="1"/>
  <c r="Q2450" i="1"/>
  <c r="R2450" i="1"/>
  <c r="S2450" i="1"/>
  <c r="T2450" i="1"/>
  <c r="U2450" i="1"/>
  <c r="Q2451" i="1"/>
  <c r="R2451" i="1"/>
  <c r="S2451" i="1"/>
  <c r="T2451" i="1"/>
  <c r="U2451" i="1"/>
  <c r="Q2452" i="1"/>
  <c r="R2452" i="1"/>
  <c r="S2452" i="1"/>
  <c r="T2452" i="1"/>
  <c r="G27" i="11" s="1"/>
  <c r="K27" i="11" s="1"/>
  <c r="L27" i="11" s="1"/>
  <c r="U2452" i="1"/>
  <c r="Q2453" i="1"/>
  <c r="R2453" i="1"/>
  <c r="S2453" i="1"/>
  <c r="T2453" i="1"/>
  <c r="U2453" i="1"/>
  <c r="Q2436" i="1"/>
  <c r="L221" i="10"/>
  <c r="L224" i="10"/>
  <c r="L225" i="10"/>
  <c r="L226" i="10"/>
  <c r="L227" i="10"/>
  <c r="L228" i="10"/>
  <c r="L232" i="10"/>
  <c r="L233" i="10"/>
  <c r="L234" i="10"/>
  <c r="L236" i="10"/>
  <c r="J221" i="10"/>
  <c r="J224" i="10"/>
  <c r="J225" i="10"/>
  <c r="J226" i="10"/>
  <c r="J227" i="10"/>
  <c r="J228" i="10"/>
  <c r="J232" i="10"/>
  <c r="J233" i="10"/>
  <c r="J234" i="10"/>
  <c r="J236" i="10"/>
  <c r="H221" i="10"/>
  <c r="H224" i="10"/>
  <c r="H225" i="10"/>
  <c r="H226" i="10"/>
  <c r="H227" i="10"/>
  <c r="H228" i="10"/>
  <c r="H232" i="10"/>
  <c r="H233" i="10"/>
  <c r="H234" i="10"/>
  <c r="H236" i="10"/>
  <c r="F221" i="10"/>
  <c r="F224" i="10"/>
  <c r="F225" i="10"/>
  <c r="F226" i="10"/>
  <c r="F227" i="10"/>
  <c r="F228" i="10"/>
  <c r="F232" i="10"/>
  <c r="F233" i="10"/>
  <c r="F234" i="10"/>
  <c r="F236" i="10"/>
  <c r="D221" i="10"/>
  <c r="D224" i="10"/>
  <c r="D225" i="10"/>
  <c r="D226" i="10"/>
  <c r="D227" i="10"/>
  <c r="D228" i="10"/>
  <c r="D232" i="10"/>
  <c r="D233" i="10"/>
  <c r="D234" i="10"/>
  <c r="D236" i="10"/>
  <c r="B221" i="10"/>
  <c r="B224" i="10"/>
  <c r="B225" i="10"/>
  <c r="B226" i="10"/>
  <c r="B227" i="10"/>
  <c r="B228" i="10"/>
  <c r="B232" i="10"/>
  <c r="B233" i="10"/>
  <c r="B234" i="10"/>
  <c r="B236" i="10"/>
  <c r="J196" i="10"/>
  <c r="K196" i="10"/>
  <c r="J199" i="10"/>
  <c r="K199" i="10"/>
  <c r="J200" i="10"/>
  <c r="K200" i="10"/>
  <c r="J201" i="10"/>
  <c r="K201" i="10"/>
  <c r="J202" i="10"/>
  <c r="K202" i="10"/>
  <c r="J203" i="10"/>
  <c r="K203" i="10"/>
  <c r="J207" i="10"/>
  <c r="K207" i="10"/>
  <c r="J209" i="10"/>
  <c r="K209" i="10"/>
  <c r="J211" i="10"/>
  <c r="K211" i="10"/>
  <c r="H196" i="10"/>
  <c r="I196" i="10"/>
  <c r="H199" i="10"/>
  <c r="I199" i="10"/>
  <c r="H200" i="10"/>
  <c r="I200" i="10"/>
  <c r="H201" i="10"/>
  <c r="I201" i="10"/>
  <c r="H202" i="10"/>
  <c r="I202" i="10"/>
  <c r="H203" i="10"/>
  <c r="I203" i="10"/>
  <c r="H207" i="10"/>
  <c r="I207" i="10"/>
  <c r="H209" i="10"/>
  <c r="I209" i="10"/>
  <c r="H211" i="10"/>
  <c r="I211" i="10"/>
  <c r="F196" i="10"/>
  <c r="G196" i="10"/>
  <c r="F199" i="10"/>
  <c r="G199" i="10"/>
  <c r="F200" i="10"/>
  <c r="G200" i="10"/>
  <c r="F201" i="10"/>
  <c r="G201" i="10"/>
  <c r="F202" i="10"/>
  <c r="G202" i="10"/>
  <c r="F203" i="10"/>
  <c r="G203" i="10"/>
  <c r="F207" i="10"/>
  <c r="G207" i="10"/>
  <c r="F209" i="10"/>
  <c r="G209" i="10"/>
  <c r="F211" i="10"/>
  <c r="G211" i="10"/>
  <c r="D196" i="10"/>
  <c r="E196" i="10"/>
  <c r="D199" i="10"/>
  <c r="E199" i="10"/>
  <c r="D200" i="10"/>
  <c r="E200" i="10"/>
  <c r="D201" i="10"/>
  <c r="E201" i="10"/>
  <c r="D202" i="10"/>
  <c r="E202" i="10"/>
  <c r="D203" i="10"/>
  <c r="E203" i="10"/>
  <c r="D207" i="10"/>
  <c r="E207" i="10"/>
  <c r="D209" i="10"/>
  <c r="E209" i="10"/>
  <c r="D211" i="10"/>
  <c r="E211" i="10"/>
  <c r="B196" i="10"/>
  <c r="C196" i="10"/>
  <c r="B199" i="10"/>
  <c r="C199" i="10"/>
  <c r="B200" i="10"/>
  <c r="C200" i="10"/>
  <c r="B201" i="10"/>
  <c r="C201" i="10"/>
  <c r="B202" i="10"/>
  <c r="C202" i="10"/>
  <c r="B203" i="10"/>
  <c r="C203" i="10"/>
  <c r="B207" i="10"/>
  <c r="C207" i="10"/>
  <c r="B209" i="10"/>
  <c r="C209" i="10"/>
  <c r="B211" i="10"/>
  <c r="C211" i="10"/>
  <c r="L171" i="10"/>
  <c r="M171" i="10"/>
  <c r="L174" i="10"/>
  <c r="M174" i="10"/>
  <c r="L175" i="10"/>
  <c r="M175" i="10"/>
  <c r="L176" i="10"/>
  <c r="M176" i="10"/>
  <c r="L177" i="10"/>
  <c r="M177" i="10"/>
  <c r="L178" i="10"/>
  <c r="M178" i="10"/>
  <c r="L182" i="10"/>
  <c r="M182" i="10"/>
  <c r="L183" i="10"/>
  <c r="M183" i="10"/>
  <c r="L184" i="10"/>
  <c r="M184" i="10"/>
  <c r="L186" i="10"/>
  <c r="M186" i="10"/>
  <c r="H171" i="10"/>
  <c r="I171" i="10"/>
  <c r="H174" i="10"/>
  <c r="I174" i="10"/>
  <c r="H175" i="10"/>
  <c r="I175" i="10"/>
  <c r="H176" i="10"/>
  <c r="I176" i="10"/>
  <c r="H177" i="10"/>
  <c r="I177" i="10"/>
  <c r="H178" i="10"/>
  <c r="I178" i="10"/>
  <c r="H182" i="10"/>
  <c r="I182" i="10"/>
  <c r="H183" i="10"/>
  <c r="I183" i="10"/>
  <c r="H184" i="10"/>
  <c r="I184" i="10"/>
  <c r="H186" i="10"/>
  <c r="I186" i="10"/>
  <c r="F171" i="10"/>
  <c r="G171" i="10"/>
  <c r="F174" i="10"/>
  <c r="G174" i="10"/>
  <c r="F175" i="10"/>
  <c r="G175" i="10"/>
  <c r="F176" i="10"/>
  <c r="G176" i="10"/>
  <c r="F177" i="10"/>
  <c r="G177" i="10"/>
  <c r="F178" i="10"/>
  <c r="G178" i="10"/>
  <c r="F182" i="10"/>
  <c r="G182" i="10"/>
  <c r="F183" i="10"/>
  <c r="G183" i="10"/>
  <c r="F184" i="10"/>
  <c r="G184" i="10"/>
  <c r="F186" i="10"/>
  <c r="G186" i="10"/>
  <c r="D171" i="10"/>
  <c r="E171" i="10"/>
  <c r="D174" i="10"/>
  <c r="E174" i="10"/>
  <c r="D175" i="10"/>
  <c r="E175" i="10"/>
  <c r="D176" i="10"/>
  <c r="E176" i="10"/>
  <c r="D177" i="10"/>
  <c r="E177" i="10"/>
  <c r="D178" i="10"/>
  <c r="E178" i="10"/>
  <c r="D182" i="10"/>
  <c r="E182" i="10"/>
  <c r="D183" i="10"/>
  <c r="E183" i="10"/>
  <c r="D184" i="10"/>
  <c r="E184" i="10"/>
  <c r="D186" i="10"/>
  <c r="E186" i="10"/>
  <c r="B171" i="10"/>
  <c r="C171" i="10"/>
  <c r="B174" i="10"/>
  <c r="C174" i="10"/>
  <c r="B175" i="10"/>
  <c r="C175" i="10"/>
  <c r="B176" i="10"/>
  <c r="C176" i="10"/>
  <c r="B177" i="10"/>
  <c r="C177" i="10"/>
  <c r="B178" i="10"/>
  <c r="C178" i="10"/>
  <c r="B182" i="10"/>
  <c r="C182" i="10"/>
  <c r="B183" i="10"/>
  <c r="C183" i="10"/>
  <c r="B184" i="10"/>
  <c r="C184" i="10"/>
  <c r="B186" i="10"/>
  <c r="C186" i="10"/>
  <c r="L146" i="10"/>
  <c r="M146" i="10"/>
  <c r="L149" i="10"/>
  <c r="M149" i="10"/>
  <c r="L150" i="10"/>
  <c r="M150" i="10"/>
  <c r="L151" i="10"/>
  <c r="M151" i="10"/>
  <c r="L152" i="10"/>
  <c r="M152" i="10"/>
  <c r="L153" i="10"/>
  <c r="M153" i="10"/>
  <c r="L157" i="10"/>
  <c r="M157" i="10"/>
  <c r="L158" i="10"/>
  <c r="M158" i="10"/>
  <c r="L159" i="10"/>
  <c r="M159" i="10"/>
  <c r="L161" i="10"/>
  <c r="M161" i="10"/>
  <c r="J146" i="10"/>
  <c r="K146" i="10"/>
  <c r="J149" i="10"/>
  <c r="K149" i="10"/>
  <c r="J150" i="10"/>
  <c r="K150" i="10"/>
  <c r="J151" i="10"/>
  <c r="K151" i="10"/>
  <c r="J152" i="10"/>
  <c r="K152" i="10"/>
  <c r="J153" i="10"/>
  <c r="K153" i="10"/>
  <c r="J157" i="10"/>
  <c r="K157" i="10"/>
  <c r="J158" i="10"/>
  <c r="K158" i="10"/>
  <c r="J159" i="10"/>
  <c r="K159" i="10"/>
  <c r="J161" i="10"/>
  <c r="K161" i="10"/>
  <c r="F146" i="10"/>
  <c r="G146" i="10"/>
  <c r="F149" i="10"/>
  <c r="G149" i="10"/>
  <c r="F150" i="10"/>
  <c r="G150" i="10"/>
  <c r="F151" i="10"/>
  <c r="G151" i="10"/>
  <c r="F152" i="10"/>
  <c r="G152" i="10"/>
  <c r="F153" i="10"/>
  <c r="G153" i="10"/>
  <c r="F157" i="10"/>
  <c r="G157" i="10"/>
  <c r="F158" i="10"/>
  <c r="G158" i="10"/>
  <c r="F159" i="10"/>
  <c r="G159" i="10"/>
  <c r="F161" i="10"/>
  <c r="G161" i="10"/>
  <c r="D146" i="10"/>
  <c r="E146" i="10"/>
  <c r="D149" i="10"/>
  <c r="E149" i="10"/>
  <c r="D150" i="10"/>
  <c r="E150" i="10"/>
  <c r="D151" i="10"/>
  <c r="E151" i="10"/>
  <c r="D152" i="10"/>
  <c r="E152" i="10"/>
  <c r="D153" i="10"/>
  <c r="E153" i="10"/>
  <c r="D157" i="10"/>
  <c r="E157" i="10"/>
  <c r="D158" i="10"/>
  <c r="E158" i="10"/>
  <c r="D159" i="10"/>
  <c r="E159" i="10"/>
  <c r="D161" i="10"/>
  <c r="E161" i="10"/>
  <c r="B146" i="10"/>
  <c r="C146" i="10"/>
  <c r="B149" i="10"/>
  <c r="C149" i="10"/>
  <c r="B150" i="10"/>
  <c r="C150" i="10"/>
  <c r="B151" i="10"/>
  <c r="C151" i="10"/>
  <c r="B152" i="10"/>
  <c r="C152" i="10"/>
  <c r="B153" i="10"/>
  <c r="C153" i="10"/>
  <c r="B157" i="10"/>
  <c r="C157" i="10"/>
  <c r="B158" i="10"/>
  <c r="C158" i="10"/>
  <c r="B159" i="10"/>
  <c r="C159" i="10"/>
  <c r="B161" i="10"/>
  <c r="C161" i="10"/>
  <c r="AB297" i="10"/>
  <c r="D71" i="16" s="1"/>
  <c r="L96" i="10"/>
  <c r="M96" i="10"/>
  <c r="L99" i="10"/>
  <c r="M99" i="10"/>
  <c r="L100" i="10"/>
  <c r="M100" i="10"/>
  <c r="L101" i="10"/>
  <c r="M101" i="10"/>
  <c r="L102" i="10"/>
  <c r="M102" i="10"/>
  <c r="L103" i="10"/>
  <c r="M103" i="10"/>
  <c r="L107" i="10"/>
  <c r="M107" i="10"/>
  <c r="L109" i="10"/>
  <c r="M109" i="10"/>
  <c r="L111" i="10"/>
  <c r="M111" i="10"/>
  <c r="J96" i="10"/>
  <c r="K96" i="10"/>
  <c r="J99" i="10"/>
  <c r="K99" i="10"/>
  <c r="J100" i="10"/>
  <c r="K100" i="10"/>
  <c r="J101" i="10"/>
  <c r="K101" i="10"/>
  <c r="J102" i="10"/>
  <c r="K102" i="10"/>
  <c r="J103" i="10"/>
  <c r="K103" i="10"/>
  <c r="J107" i="10"/>
  <c r="K107" i="10"/>
  <c r="J109" i="10"/>
  <c r="K109" i="10"/>
  <c r="J111" i="10"/>
  <c r="K111" i="10"/>
  <c r="H96" i="10"/>
  <c r="I96" i="10"/>
  <c r="H99" i="10"/>
  <c r="I99" i="10"/>
  <c r="H100" i="10"/>
  <c r="I100" i="10"/>
  <c r="H101" i="10"/>
  <c r="I101" i="10"/>
  <c r="H102" i="10"/>
  <c r="I102" i="10"/>
  <c r="H103" i="10"/>
  <c r="I103" i="10"/>
  <c r="H107" i="10"/>
  <c r="I107" i="10"/>
  <c r="H109" i="10"/>
  <c r="I109" i="10"/>
  <c r="H111" i="10"/>
  <c r="I111" i="10"/>
  <c r="L71" i="10"/>
  <c r="M71" i="10"/>
  <c r="L74" i="10"/>
  <c r="M74" i="10"/>
  <c r="L75" i="10"/>
  <c r="M75" i="10"/>
  <c r="L76" i="10"/>
  <c r="M76" i="10"/>
  <c r="L77" i="10"/>
  <c r="M77" i="10"/>
  <c r="L78" i="10"/>
  <c r="M78" i="10"/>
  <c r="L82" i="10"/>
  <c r="M82" i="10"/>
  <c r="L83" i="10"/>
  <c r="M83" i="10"/>
  <c r="L84" i="10"/>
  <c r="M84" i="10"/>
  <c r="L86" i="10"/>
  <c r="M86" i="10"/>
  <c r="J71" i="10"/>
  <c r="K71" i="10"/>
  <c r="J74" i="10"/>
  <c r="K74" i="10"/>
  <c r="J75" i="10"/>
  <c r="K75" i="10"/>
  <c r="J76" i="10"/>
  <c r="K76" i="10"/>
  <c r="J77" i="10"/>
  <c r="K77" i="10"/>
  <c r="J78" i="10"/>
  <c r="K78" i="10"/>
  <c r="J82" i="10"/>
  <c r="K82" i="10"/>
  <c r="J83" i="10"/>
  <c r="K83" i="10"/>
  <c r="J84" i="10"/>
  <c r="K84" i="10"/>
  <c r="J86" i="10"/>
  <c r="K86" i="10"/>
  <c r="H71" i="10"/>
  <c r="I71" i="10"/>
  <c r="H74" i="10"/>
  <c r="I74" i="10"/>
  <c r="H75" i="10"/>
  <c r="I75" i="10"/>
  <c r="H76" i="10"/>
  <c r="I76" i="10"/>
  <c r="H77" i="10"/>
  <c r="I77" i="10"/>
  <c r="H78" i="10"/>
  <c r="I78" i="10"/>
  <c r="H82" i="10"/>
  <c r="I82" i="10"/>
  <c r="H83" i="10"/>
  <c r="I83" i="10"/>
  <c r="H84" i="10"/>
  <c r="I84" i="10"/>
  <c r="H86" i="10"/>
  <c r="I86" i="10"/>
  <c r="F96" i="10"/>
  <c r="G96" i="10"/>
  <c r="F99" i="10"/>
  <c r="G99" i="10"/>
  <c r="F100" i="10"/>
  <c r="G100" i="10"/>
  <c r="F101" i="10"/>
  <c r="G101" i="10"/>
  <c r="F102" i="10"/>
  <c r="G102" i="10"/>
  <c r="F103" i="10"/>
  <c r="G103" i="10"/>
  <c r="F107" i="10"/>
  <c r="G107" i="10"/>
  <c r="F109" i="10"/>
  <c r="G109" i="10"/>
  <c r="F111" i="10"/>
  <c r="G111" i="10"/>
  <c r="B96" i="10"/>
  <c r="C96" i="10"/>
  <c r="B99" i="10"/>
  <c r="C99" i="10"/>
  <c r="B100" i="10"/>
  <c r="C100" i="10"/>
  <c r="B101" i="10"/>
  <c r="C101" i="10"/>
  <c r="B102" i="10"/>
  <c r="C102" i="10"/>
  <c r="B103" i="10"/>
  <c r="C103" i="10"/>
  <c r="B107" i="10"/>
  <c r="C107" i="10"/>
  <c r="B109" i="10"/>
  <c r="C109" i="10"/>
  <c r="B111" i="10"/>
  <c r="C111" i="10"/>
  <c r="F71" i="10"/>
  <c r="G71" i="10"/>
  <c r="F74" i="10"/>
  <c r="G74" i="10"/>
  <c r="F75" i="10"/>
  <c r="G75" i="10"/>
  <c r="F76" i="10"/>
  <c r="G76" i="10"/>
  <c r="F77" i="10"/>
  <c r="G77" i="10"/>
  <c r="F78" i="10"/>
  <c r="G78" i="10"/>
  <c r="F82" i="10"/>
  <c r="G82" i="10"/>
  <c r="F83" i="10"/>
  <c r="G83" i="10"/>
  <c r="F84" i="10"/>
  <c r="G84" i="10"/>
  <c r="F86" i="10"/>
  <c r="G86" i="10"/>
  <c r="D71" i="10"/>
  <c r="E71" i="10"/>
  <c r="D74" i="10"/>
  <c r="E74" i="10"/>
  <c r="D75" i="10"/>
  <c r="E75" i="10"/>
  <c r="D76" i="10"/>
  <c r="E76" i="10"/>
  <c r="D77" i="10"/>
  <c r="E77" i="10"/>
  <c r="D78" i="10"/>
  <c r="E78" i="10"/>
  <c r="D82" i="10"/>
  <c r="E82" i="10"/>
  <c r="D83" i="10"/>
  <c r="E83" i="10"/>
  <c r="D84" i="10"/>
  <c r="E84" i="10"/>
  <c r="D86" i="10"/>
  <c r="E86" i="10"/>
  <c r="F127" i="6"/>
  <c r="F109" i="6"/>
  <c r="F90" i="6"/>
  <c r="F72" i="6"/>
  <c r="F52" i="6"/>
  <c r="B229" i="11"/>
  <c r="C38" i="16" s="1"/>
  <c r="B219" i="11"/>
  <c r="C41" i="16" s="1"/>
  <c r="H41" i="16" s="1"/>
  <c r="F133" i="6" s="1"/>
  <c r="R2486" i="1"/>
  <c r="R2436" i="1"/>
  <c r="S2436" i="1"/>
  <c r="F187" i="10"/>
  <c r="L180" i="10"/>
  <c r="F180" i="10"/>
  <c r="M187" i="10"/>
  <c r="E187" i="10"/>
  <c r="H187" i="10"/>
  <c r="I187" i="10"/>
  <c r="H180" i="10"/>
  <c r="C187" i="10"/>
  <c r="L187" i="10"/>
  <c r="D187" i="10"/>
  <c r="G187" i="10"/>
  <c r="E180" i="10"/>
  <c r="B180" i="10"/>
  <c r="I180" i="10"/>
  <c r="G180" i="10"/>
  <c r="D180" i="10"/>
  <c r="M180" i="10"/>
  <c r="C180" i="10"/>
  <c r="B187" i="10"/>
  <c r="F205" i="10"/>
  <c r="H205" i="10"/>
  <c r="B205" i="10"/>
  <c r="G205" i="10"/>
  <c r="I205" i="10"/>
  <c r="E205" i="10"/>
  <c r="K205" i="10"/>
  <c r="B210" i="10"/>
  <c r="J205" i="10"/>
  <c r="C205" i="10"/>
  <c r="D205" i="10"/>
  <c r="C170" i="10"/>
  <c r="I170" i="10"/>
  <c r="E170" i="10"/>
  <c r="B170" i="10"/>
  <c r="H170" i="10"/>
  <c r="M170" i="10"/>
  <c r="D170" i="10"/>
  <c r="G170" i="10"/>
  <c r="F170" i="10"/>
  <c r="L170" i="10"/>
  <c r="H185" i="10"/>
  <c r="F185" i="10"/>
  <c r="G185" i="10"/>
  <c r="L185" i="10"/>
  <c r="B185" i="10"/>
  <c r="E185" i="10"/>
  <c r="M185" i="10"/>
  <c r="C185" i="10"/>
  <c r="D185" i="10"/>
  <c r="I185" i="10"/>
  <c r="E210" i="10"/>
  <c r="F210" i="10"/>
  <c r="H210" i="10"/>
  <c r="G210" i="10"/>
  <c r="J210" i="10"/>
  <c r="K210" i="10"/>
  <c r="D210" i="10"/>
  <c r="C210" i="10"/>
  <c r="I210" i="10"/>
  <c r="AE297" i="10"/>
  <c r="D76" i="16" s="1"/>
  <c r="S298" i="10"/>
  <c r="D54" i="16" s="1"/>
  <c r="AY24" i="8" s="1"/>
  <c r="AY33" i="8" s="1"/>
  <c r="Y297" i="10"/>
  <c r="D66" i="16" s="1"/>
  <c r="AB298" i="10"/>
  <c r="D69" i="16" s="1"/>
  <c r="AG24" i="8" s="1"/>
  <c r="AG33" i="8" s="1"/>
  <c r="AE298" i="10"/>
  <c r="D74" i="16"/>
  <c r="AH298" i="10"/>
  <c r="D79" i="16" s="1"/>
  <c r="AP24" i="8" s="1"/>
  <c r="AP33" i="8" s="1"/>
  <c r="D96" i="16"/>
  <c r="AH297" i="10"/>
  <c r="D81" i="16" s="1"/>
  <c r="N44" i="12"/>
  <c r="J78" i="12"/>
  <c r="M78" i="12"/>
  <c r="N65" i="12"/>
  <c r="N49" i="12"/>
  <c r="N82" i="12"/>
  <c r="N62" i="12"/>
  <c r="N81" i="12"/>
  <c r="J50" i="12"/>
  <c r="M50" i="12" s="1"/>
  <c r="N69" i="12"/>
  <c r="O25" i="12"/>
  <c r="N67" i="12"/>
  <c r="O11" i="12"/>
  <c r="J26" i="12"/>
  <c r="N26" i="12"/>
  <c r="J22" i="12"/>
  <c r="N22" i="12" s="1"/>
  <c r="O22" i="12" s="1"/>
  <c r="N73" i="12"/>
  <c r="O6" i="12"/>
  <c r="N76" i="12"/>
  <c r="N33" i="12"/>
  <c r="N35" i="12"/>
  <c r="N39" i="12"/>
  <c r="N41" i="12"/>
  <c r="N43" i="12"/>
  <c r="N50" i="12"/>
  <c r="O20" i="12"/>
  <c r="N34" i="12"/>
  <c r="O9" i="12"/>
  <c r="N61" i="12"/>
  <c r="N79" i="12"/>
  <c r="N40" i="12"/>
  <c r="N55" i="12"/>
  <c r="N72" i="12"/>
  <c r="N70" i="12"/>
  <c r="L52" i="12"/>
  <c r="M52" i="12" s="1"/>
  <c r="O23" i="12"/>
  <c r="N51" i="12"/>
  <c r="CP33" i="8"/>
  <c r="G31" i="11"/>
  <c r="K31" i="11" s="1"/>
  <c r="L31" i="11" s="1"/>
  <c r="K13" i="11"/>
  <c r="L13" i="11" s="1"/>
  <c r="F264" i="6"/>
  <c r="O13" i="12"/>
  <c r="O17" i="12"/>
  <c r="O12" i="12"/>
  <c r="O8" i="12"/>
  <c r="O15" i="12"/>
  <c r="O14" i="12"/>
  <c r="O7" i="12"/>
  <c r="Z2573" i="1"/>
  <c r="Z2548" i="1"/>
  <c r="Z2464" i="1" l="1"/>
  <c r="C48" i="10" s="1"/>
  <c r="Z2506" i="1"/>
  <c r="N172" i="11"/>
  <c r="O172" i="11" s="1"/>
  <c r="K212" i="11"/>
  <c r="L212" i="11" s="1"/>
  <c r="F172" i="11"/>
  <c r="I172" i="11" s="1"/>
  <c r="F85" i="11"/>
  <c r="I85" i="11" s="1"/>
  <c r="H38" i="16"/>
  <c r="BZ24" i="8"/>
  <c r="BZ33" i="8" s="1"/>
  <c r="CA33" i="8" s="1"/>
  <c r="Z15" i="8"/>
  <c r="AA15" i="8" s="1"/>
  <c r="F100" i="11"/>
  <c r="I100" i="11" s="1"/>
  <c r="Z2556" i="1"/>
  <c r="Z2457" i="1"/>
  <c r="Z2606" i="1"/>
  <c r="K122" i="11"/>
  <c r="L122" i="11" s="1"/>
  <c r="F201" i="11"/>
  <c r="I201" i="11" s="1"/>
  <c r="K167" i="11"/>
  <c r="L167" i="11" s="1"/>
  <c r="E119" i="13" a="1"/>
  <c r="E119" i="13" s="1"/>
  <c r="H119" i="13" s="1"/>
  <c r="E113" i="13" a="1"/>
  <c r="E113" i="13" s="1"/>
  <c r="H113" i="13" s="1"/>
  <c r="E100" i="13" a="1"/>
  <c r="E100" i="13" s="1"/>
  <c r="H100" i="13" s="1"/>
  <c r="E104" i="13" a="1"/>
  <c r="E104" i="13" s="1"/>
  <c r="H104" i="13" s="1"/>
  <c r="E106" i="13" a="1"/>
  <c r="E106" i="13" s="1"/>
  <c r="H106" i="13" s="1"/>
  <c r="E107" i="13" a="1"/>
  <c r="E107" i="13" s="1"/>
  <c r="H107" i="13" s="1"/>
  <c r="E101" i="13" a="1"/>
  <c r="E101" i="13" s="1"/>
  <c r="H101" i="13" s="1"/>
  <c r="D82" i="16"/>
  <c r="AO24" i="8" s="1"/>
  <c r="AO33" i="8" s="1"/>
  <c r="E70" i="13" a="1"/>
  <c r="E70" i="13" s="1"/>
  <c r="F257" i="6" s="1"/>
  <c r="M257" i="6" s="1"/>
  <c r="N257" i="6" s="1"/>
  <c r="D101" i="16"/>
  <c r="D24" i="8"/>
  <c r="D67" i="16"/>
  <c r="W24" i="8" s="1"/>
  <c r="W33" i="8" s="1"/>
  <c r="D100" i="16"/>
  <c r="D110" i="16" s="1"/>
  <c r="D57" i="16"/>
  <c r="AX24" i="8" s="1"/>
  <c r="AX33" i="8" s="1"/>
  <c r="Z2438" i="1"/>
  <c r="B39" i="10" s="1"/>
  <c r="J97" i="10" s="1"/>
  <c r="U2539" i="1"/>
  <c r="U2558" i="1" s="1"/>
  <c r="C104" i="16"/>
  <c r="F66" i="6"/>
  <c r="H66" i="6" s="1"/>
  <c r="I425" i="7"/>
  <c r="B161" i="11" s="1"/>
  <c r="I426" i="7"/>
  <c r="B191" i="11" s="1"/>
  <c r="I423" i="7"/>
  <c r="B101" i="11" s="1"/>
  <c r="F31" i="11"/>
  <c r="I31" i="11" s="1"/>
  <c r="F164" i="11"/>
  <c r="I164" i="11" s="1"/>
  <c r="F32" i="11"/>
  <c r="I32" i="11" s="1"/>
  <c r="C105" i="16"/>
  <c r="C110" i="16" s="1"/>
  <c r="C99" i="16"/>
  <c r="F199" i="11"/>
  <c r="I199" i="11" s="1"/>
  <c r="F59" i="11"/>
  <c r="F101" i="11"/>
  <c r="I101" i="11" s="1"/>
  <c r="F79" i="11"/>
  <c r="I79" i="11" s="1"/>
  <c r="F106" i="11"/>
  <c r="I106" i="11" s="1"/>
  <c r="F141" i="11"/>
  <c r="I141" i="11" s="1"/>
  <c r="F202" i="11"/>
  <c r="I202" i="11" s="1"/>
  <c r="F177" i="11"/>
  <c r="I177" i="11" s="1"/>
  <c r="F47" i="11"/>
  <c r="I47" i="11" s="1"/>
  <c r="Z2612" i="1"/>
  <c r="K164" i="11"/>
  <c r="L164" i="11" s="1"/>
  <c r="N138" i="11"/>
  <c r="O138" i="11" s="1"/>
  <c r="Z2514" i="1"/>
  <c r="E48" i="10" s="1"/>
  <c r="M156" i="10" s="1"/>
  <c r="F122" i="11"/>
  <c r="I122" i="11" s="1"/>
  <c r="F175" i="11"/>
  <c r="I175" i="11" s="1"/>
  <c r="G202" i="11"/>
  <c r="N202" i="11" s="1"/>
  <c r="O202" i="11" s="1"/>
  <c r="F58" i="11"/>
  <c r="I58" i="11" s="1"/>
  <c r="Z2562" i="1"/>
  <c r="Z2456" i="1"/>
  <c r="Z2505" i="1"/>
  <c r="Z2480" i="1"/>
  <c r="Z2605" i="1"/>
  <c r="F138" i="11"/>
  <c r="I138" i="11" s="1"/>
  <c r="Z2598" i="1"/>
  <c r="F41" i="11"/>
  <c r="I41" i="11" s="1"/>
  <c r="F200" i="11"/>
  <c r="I200" i="11" s="1"/>
  <c r="F192" i="11"/>
  <c r="I192" i="11" s="1"/>
  <c r="F139" i="11"/>
  <c r="I139" i="11" s="1"/>
  <c r="K178" i="11"/>
  <c r="L178" i="11" s="1"/>
  <c r="F167" i="11"/>
  <c r="I167" i="11" s="1"/>
  <c r="K148" i="11"/>
  <c r="L148" i="11" s="1"/>
  <c r="F182" i="11"/>
  <c r="I182" i="11" s="1"/>
  <c r="F52" i="11"/>
  <c r="I52" i="11" s="1"/>
  <c r="Z2536" i="1"/>
  <c r="Z2604" i="1"/>
  <c r="F76" i="11"/>
  <c r="I76" i="11" s="1"/>
  <c r="F148" i="11"/>
  <c r="I148" i="11" s="1"/>
  <c r="F86" i="11"/>
  <c r="I86" i="11" s="1"/>
  <c r="F70" i="11"/>
  <c r="I70" i="11" s="1"/>
  <c r="K170" i="11"/>
  <c r="L170" i="11" s="1"/>
  <c r="F137" i="11"/>
  <c r="I137" i="11" s="1"/>
  <c r="F133" i="11"/>
  <c r="I133" i="11" s="1"/>
  <c r="F73" i="11"/>
  <c r="I73" i="11" s="1"/>
  <c r="G106" i="11"/>
  <c r="K106" i="11" s="1"/>
  <c r="L106" i="11" s="1"/>
  <c r="G177" i="11"/>
  <c r="K177" i="11" s="1"/>
  <c r="L177" i="11" s="1"/>
  <c r="F82" i="11"/>
  <c r="I82" i="11" s="1"/>
  <c r="F77" i="11"/>
  <c r="I77" i="11" s="1"/>
  <c r="Z2539" i="1"/>
  <c r="H48" i="10" s="1"/>
  <c r="L231" i="10" s="1"/>
  <c r="C77" i="13" s="1" a="1"/>
  <c r="C77" i="13" s="1"/>
  <c r="G192" i="11"/>
  <c r="N192" i="11" s="1"/>
  <c r="O192" i="11" s="1"/>
  <c r="Z2454" i="1"/>
  <c r="K130" i="11"/>
  <c r="L130" i="11" s="1"/>
  <c r="F132" i="11"/>
  <c r="I132" i="11" s="1"/>
  <c r="Z2463" i="1"/>
  <c r="C39" i="10" s="1"/>
  <c r="L72" i="10" s="1"/>
  <c r="Z2496" i="1"/>
  <c r="Z2492" i="1"/>
  <c r="Z2518" i="1"/>
  <c r="Z2552" i="1"/>
  <c r="Z2546" i="1"/>
  <c r="Z2542" i="1"/>
  <c r="Z2538" i="1"/>
  <c r="H39" i="10" s="1"/>
  <c r="H222" i="10" s="1"/>
  <c r="C52" i="13" s="1" a="1"/>
  <c r="C52" i="13" s="1"/>
  <c r="Z2577" i="1"/>
  <c r="Z2571" i="1"/>
  <c r="Z2567" i="1"/>
  <c r="Z2564" i="1"/>
  <c r="F48" i="10" s="1"/>
  <c r="D181" i="10" s="1"/>
  <c r="Z2597" i="1"/>
  <c r="Z2593" i="1"/>
  <c r="Z2450" i="1"/>
  <c r="B46" i="10" s="1"/>
  <c r="G104" i="10" s="1"/>
  <c r="F61" i="11"/>
  <c r="I61" i="11" s="1"/>
  <c r="F152" i="11"/>
  <c r="I152" i="11" s="1"/>
  <c r="F142" i="11"/>
  <c r="I142" i="11" s="1"/>
  <c r="F178" i="11"/>
  <c r="I178" i="11" s="1"/>
  <c r="F60" i="11"/>
  <c r="I60" i="11" s="1"/>
  <c r="F72" i="11"/>
  <c r="I72" i="11" s="1"/>
  <c r="Z2473" i="1"/>
  <c r="Z2486" i="1"/>
  <c r="Z2500" i="1"/>
  <c r="D46" i="10" s="1"/>
  <c r="Q348" i="6" s="1"/>
  <c r="F347" i="6" s="1"/>
  <c r="J347" i="6" s="1"/>
  <c r="K347" i="6" s="1"/>
  <c r="Z2494" i="1"/>
  <c r="Z2511" i="1"/>
  <c r="Z2520" i="1"/>
  <c r="Z2513" i="1"/>
  <c r="E39" i="10" s="1"/>
  <c r="M147" i="10" s="1"/>
  <c r="Z2555" i="1"/>
  <c r="Z2544" i="1"/>
  <c r="Z2540" i="1"/>
  <c r="H47" i="10" s="1"/>
  <c r="D230" i="10" s="1"/>
  <c r="Z2569" i="1"/>
  <c r="Z2601" i="1"/>
  <c r="Z2595" i="1"/>
  <c r="Z2588" i="1"/>
  <c r="G39" i="10" s="1"/>
  <c r="G197" i="10" s="1"/>
  <c r="F110" i="11"/>
  <c r="I110" i="11" s="1"/>
  <c r="F102" i="11"/>
  <c r="I102" i="11" s="1"/>
  <c r="F136" i="11"/>
  <c r="I136" i="11" s="1"/>
  <c r="K206" i="11"/>
  <c r="L206" i="11" s="1"/>
  <c r="U2439" i="1"/>
  <c r="U2458" i="1" s="1"/>
  <c r="K166" i="11"/>
  <c r="L166" i="11" s="1"/>
  <c r="F195" i="11"/>
  <c r="Z2613" i="1"/>
  <c r="Z2507" i="1"/>
  <c r="Z2482" i="1"/>
  <c r="Z2531" i="1"/>
  <c r="Z2607" i="1"/>
  <c r="N162" i="11"/>
  <c r="O162" i="11" s="1"/>
  <c r="F25" i="11"/>
  <c r="I25" i="11" s="1"/>
  <c r="F18" i="11"/>
  <c r="I18" i="11" s="1"/>
  <c r="Z2523" i="1"/>
  <c r="N49" i="11"/>
  <c r="O49" i="11" s="1"/>
  <c r="F75" i="11"/>
  <c r="F71" i="11"/>
  <c r="I71" i="11" s="1"/>
  <c r="F181" i="11"/>
  <c r="I181" i="11" s="1"/>
  <c r="F53" i="11"/>
  <c r="F51" i="11"/>
  <c r="I51" i="11" s="1"/>
  <c r="F120" i="11"/>
  <c r="I120" i="11" s="1"/>
  <c r="Z2498" i="1"/>
  <c r="F205" i="11"/>
  <c r="I205" i="11" s="1"/>
  <c r="F21" i="11"/>
  <c r="I21" i="11" s="1"/>
  <c r="F29" i="11"/>
  <c r="N191" i="11"/>
  <c r="O191" i="11" s="1"/>
  <c r="Z2472" i="1"/>
  <c r="Z2468" i="1"/>
  <c r="Z2503" i="1"/>
  <c r="D54" i="10" s="1"/>
  <c r="Q356" i="6" s="1"/>
  <c r="Z2497" i="1"/>
  <c r="Z2493" i="1"/>
  <c r="Z2489" i="1"/>
  <c r="D48" i="10" s="1"/>
  <c r="J131" i="10" s="1"/>
  <c r="Z2519" i="1"/>
  <c r="Z2515" i="1"/>
  <c r="E47" i="10" s="1"/>
  <c r="D155" i="10" s="1"/>
  <c r="Z2512" i="1"/>
  <c r="Z2553" i="1"/>
  <c r="H54" i="10" s="1"/>
  <c r="H37" i="10" s="1"/>
  <c r="L220" i="10" s="1"/>
  <c r="Z2547" i="1"/>
  <c r="Z2543" i="1"/>
  <c r="Z2554" i="1"/>
  <c r="Z2578" i="1"/>
  <c r="Z2572" i="1"/>
  <c r="Z2568" i="1"/>
  <c r="Z2579" i="1"/>
  <c r="Z2586" i="1"/>
  <c r="Z2600" i="1"/>
  <c r="G46" i="10" s="1"/>
  <c r="I204" i="10" s="1"/>
  <c r="Z2594" i="1"/>
  <c r="Z2590" i="1"/>
  <c r="Z2587" i="1"/>
  <c r="F49" i="11"/>
  <c r="I49" i="11" s="1"/>
  <c r="F118" i="11"/>
  <c r="I118" i="11" s="1"/>
  <c r="F190" i="11"/>
  <c r="I190" i="11" s="1"/>
  <c r="F206" i="11"/>
  <c r="I206" i="11" s="1"/>
  <c r="F191" i="11"/>
  <c r="I191" i="11" s="1"/>
  <c r="F161" i="11"/>
  <c r="I161" i="11" s="1"/>
  <c r="F119" i="11"/>
  <c r="F165" i="11"/>
  <c r="N161" i="11"/>
  <c r="O161" i="11" s="1"/>
  <c r="K176" i="11"/>
  <c r="L176" i="11" s="1"/>
  <c r="K140" i="11"/>
  <c r="L140" i="11" s="1"/>
  <c r="K21" i="11"/>
  <c r="L21" i="11" s="1"/>
  <c r="K118" i="11"/>
  <c r="L118" i="11" s="1"/>
  <c r="F160" i="11"/>
  <c r="I160" i="11" s="1"/>
  <c r="B181" i="10"/>
  <c r="Y2431" i="1"/>
  <c r="G71" i="11"/>
  <c r="N71" i="11" s="1"/>
  <c r="O71" i="11" s="1"/>
  <c r="F45" i="11"/>
  <c r="G86" i="11"/>
  <c r="K86" i="11" s="1"/>
  <c r="L86" i="11" s="1"/>
  <c r="Y2432" i="1"/>
  <c r="E2491" i="1"/>
  <c r="F208" i="11"/>
  <c r="I208" i="11" s="1"/>
  <c r="Z2455" i="1"/>
  <c r="Z2504" i="1"/>
  <c r="Z2532" i="1"/>
  <c r="Z2580" i="1"/>
  <c r="F11" i="11"/>
  <c r="I11" i="11" s="1"/>
  <c r="G200" i="11"/>
  <c r="N200" i="11" s="1"/>
  <c r="O200" i="11" s="1"/>
  <c r="Z2614" i="1"/>
  <c r="K11" i="11"/>
  <c r="L11" i="11" s="1"/>
  <c r="G25" i="11"/>
  <c r="N25" i="11" s="1"/>
  <c r="O25" i="11" s="1"/>
  <c r="N152" i="11"/>
  <c r="O152" i="11" s="1"/>
  <c r="N80" i="11"/>
  <c r="O80" i="11" s="1"/>
  <c r="F48" i="11"/>
  <c r="I48" i="11" s="1"/>
  <c r="F57" i="11"/>
  <c r="I57" i="11" s="1"/>
  <c r="N112" i="11"/>
  <c r="O112" i="11" s="1"/>
  <c r="F112" i="11"/>
  <c r="I112" i="11" s="1"/>
  <c r="F91" i="11"/>
  <c r="I91" i="11" s="1"/>
  <c r="F196" i="11"/>
  <c r="I196" i="11" s="1"/>
  <c r="Z2491" i="1"/>
  <c r="Z2527" i="1"/>
  <c r="Z2537" i="1"/>
  <c r="Z2563" i="1"/>
  <c r="F39" i="10" s="1"/>
  <c r="Q389" i="6" s="1"/>
  <c r="F388" i="6" s="1"/>
  <c r="M388" i="6" s="1"/>
  <c r="N388" i="6" s="1"/>
  <c r="F16" i="11"/>
  <c r="I16" i="11" s="1"/>
  <c r="F90" i="11"/>
  <c r="I90" i="11" s="1"/>
  <c r="K82" i="11"/>
  <c r="L82" i="11" s="1"/>
  <c r="F80" i="11"/>
  <c r="I80" i="11" s="1"/>
  <c r="Z2436" i="1"/>
  <c r="Z2447" i="1"/>
  <c r="Z2443" i="1"/>
  <c r="Z2478" i="1"/>
  <c r="C54" i="10" s="1"/>
  <c r="C37" i="10" s="1"/>
  <c r="Z2469" i="1"/>
  <c r="Z2465" i="1"/>
  <c r="C47" i="10" s="1"/>
  <c r="G80" i="10" s="1"/>
  <c r="Z2490" i="1"/>
  <c r="D47" i="10" s="1"/>
  <c r="C130" i="10" s="1"/>
  <c r="Z2526" i="1"/>
  <c r="Z2516" i="1"/>
  <c r="Z2575" i="1"/>
  <c r="F46" i="10" s="1"/>
  <c r="L179" i="10" s="1"/>
  <c r="Z2565" i="1"/>
  <c r="Z2591" i="1"/>
  <c r="F169" i="11"/>
  <c r="I169" i="11" s="1"/>
  <c r="G73" i="11"/>
  <c r="N73" i="11" s="1"/>
  <c r="O73" i="11" s="1"/>
  <c r="N12" i="11"/>
  <c r="O12" i="11" s="1"/>
  <c r="F89" i="11"/>
  <c r="G79" i="11"/>
  <c r="N79" i="11" s="1"/>
  <c r="O79" i="11" s="1"/>
  <c r="G76" i="11"/>
  <c r="K76" i="11" s="1"/>
  <c r="L76" i="11" s="1"/>
  <c r="N109" i="11"/>
  <c r="O109" i="11" s="1"/>
  <c r="F116" i="11"/>
  <c r="I116" i="11" s="1"/>
  <c r="G199" i="11"/>
  <c r="N199" i="11" s="1"/>
  <c r="O199" i="11" s="1"/>
  <c r="F12" i="11"/>
  <c r="I12" i="11" s="1"/>
  <c r="F78" i="11"/>
  <c r="I78" i="11" s="1"/>
  <c r="K116" i="11"/>
  <c r="L116" i="11" s="1"/>
  <c r="K103" i="11"/>
  <c r="L103" i="11" s="1"/>
  <c r="Q2583" i="1"/>
  <c r="Z2481" i="1"/>
  <c r="Z2582" i="1"/>
  <c r="F13" i="11"/>
  <c r="I13" i="11" s="1"/>
  <c r="F88" i="11"/>
  <c r="I88" i="11" s="1"/>
  <c r="F115" i="11"/>
  <c r="I115" i="11" s="1"/>
  <c r="F176" i="11"/>
  <c r="I176" i="11" s="1"/>
  <c r="K102" i="11"/>
  <c r="L102" i="11" s="1"/>
  <c r="K134" i="11"/>
  <c r="L134" i="11" s="1"/>
  <c r="F103" i="11"/>
  <c r="I103" i="11" s="1"/>
  <c r="U2435" i="1"/>
  <c r="Z2444" i="1"/>
  <c r="Z2440" i="1"/>
  <c r="B47" i="10" s="1"/>
  <c r="B105" i="10" s="1"/>
  <c r="N180" i="11"/>
  <c r="O180" i="11" s="1"/>
  <c r="K180" i="11"/>
  <c r="L180" i="11" s="1"/>
  <c r="B40" i="10"/>
  <c r="I98" i="10" s="1"/>
  <c r="U2583" i="1"/>
  <c r="G141" i="11"/>
  <c r="N107" i="11"/>
  <c r="O107" i="11" s="1"/>
  <c r="F194" i="11"/>
  <c r="I194" i="11" s="1"/>
  <c r="F209" i="11"/>
  <c r="F20" i="11"/>
  <c r="I20" i="11" s="1"/>
  <c r="G101" i="11"/>
  <c r="K101" i="11" s="1"/>
  <c r="L101" i="11" s="1"/>
  <c r="F27" i="11"/>
  <c r="I27" i="11" s="1"/>
  <c r="F92" i="11"/>
  <c r="I92" i="11" s="1"/>
  <c r="F146" i="11"/>
  <c r="I146" i="11" s="1"/>
  <c r="F180" i="11"/>
  <c r="I180" i="11" s="1"/>
  <c r="F170" i="11"/>
  <c r="I170" i="11" s="1"/>
  <c r="F162" i="11"/>
  <c r="I162" i="11" s="1"/>
  <c r="F197" i="11"/>
  <c r="I197" i="11" s="1"/>
  <c r="S2483" i="1"/>
  <c r="F140" i="11"/>
  <c r="I140" i="11" s="1"/>
  <c r="F107" i="11"/>
  <c r="I107" i="11" s="1"/>
  <c r="G120" i="11"/>
  <c r="G139" i="11"/>
  <c r="N139" i="11" s="1"/>
  <c r="O139" i="11" s="1"/>
  <c r="E2466" i="1"/>
  <c r="F46" i="11"/>
  <c r="I46" i="11" s="1"/>
  <c r="F193" i="11"/>
  <c r="I193" i="11" s="1"/>
  <c r="E2440" i="1"/>
  <c r="F66" i="13" s="1"/>
  <c r="E66" i="13" s="1" a="1"/>
  <c r="E66" i="13" s="1"/>
  <c r="F250" i="6" s="1"/>
  <c r="G75" i="11"/>
  <c r="F212" i="11"/>
  <c r="I212" i="11" s="1"/>
  <c r="G60" i="11"/>
  <c r="N60" i="11" s="1"/>
  <c r="O60" i="11" s="1"/>
  <c r="R2608" i="1"/>
  <c r="Z2452" i="1"/>
  <c r="Z2441" i="1"/>
  <c r="Z2461" i="1"/>
  <c r="Z2470" i="1"/>
  <c r="Z2495" i="1"/>
  <c r="Z2517" i="1"/>
  <c r="Z2557" i="1"/>
  <c r="Z2551" i="1"/>
  <c r="Z2545" i="1"/>
  <c r="Z2576" i="1"/>
  <c r="Z2570" i="1"/>
  <c r="Z2566" i="1"/>
  <c r="Z2602" i="1"/>
  <c r="Z2596" i="1"/>
  <c r="Z2589" i="1"/>
  <c r="G48" i="10" s="1"/>
  <c r="H206" i="10" s="1"/>
  <c r="F10" i="11"/>
  <c r="I10" i="11" s="1"/>
  <c r="G181" i="11"/>
  <c r="Z2439" i="1"/>
  <c r="B48" i="10" s="1"/>
  <c r="B106" i="10" s="1"/>
  <c r="G70" i="11"/>
  <c r="F130" i="11"/>
  <c r="I130" i="11" s="1"/>
  <c r="Q2608" i="1"/>
  <c r="F163" i="11"/>
  <c r="I163" i="11" s="1"/>
  <c r="N41" i="11"/>
  <c r="O41" i="11" s="1"/>
  <c r="K208" i="11"/>
  <c r="L208" i="11" s="1"/>
  <c r="E2490" i="1"/>
  <c r="K190" i="11"/>
  <c r="L190" i="11" s="1"/>
  <c r="F105" i="11"/>
  <c r="Q2533" i="1"/>
  <c r="Q2558" i="1"/>
  <c r="N48" i="11"/>
  <c r="O48" i="11" s="1"/>
  <c r="K48" i="11"/>
  <c r="L48" i="11" s="1"/>
  <c r="N91" i="11"/>
  <c r="O91" i="11" s="1"/>
  <c r="K91" i="11"/>
  <c r="L91" i="11" s="1"/>
  <c r="N90" i="11"/>
  <c r="O90" i="11" s="1"/>
  <c r="K90" i="11"/>
  <c r="L90" i="11" s="1"/>
  <c r="K62" i="11"/>
  <c r="L62" i="11" s="1"/>
  <c r="N62" i="11"/>
  <c r="O62" i="11" s="1"/>
  <c r="G81" i="10"/>
  <c r="L81" i="10"/>
  <c r="H81" i="10"/>
  <c r="M81" i="10"/>
  <c r="Q302" i="6"/>
  <c r="F293" i="6" s="1"/>
  <c r="I81" i="10"/>
  <c r="J81" i="10"/>
  <c r="N20" i="11"/>
  <c r="O20" i="11" s="1"/>
  <c r="K20" i="11"/>
  <c r="L20" i="11" s="1"/>
  <c r="N132" i="11"/>
  <c r="O132" i="11" s="1"/>
  <c r="K132" i="11"/>
  <c r="L132" i="11" s="1"/>
  <c r="N151" i="11"/>
  <c r="O151" i="11" s="1"/>
  <c r="K151" i="11"/>
  <c r="L151" i="11" s="1"/>
  <c r="K201" i="11"/>
  <c r="L201" i="11" s="1"/>
  <c r="N201" i="11"/>
  <c r="O201" i="11" s="1"/>
  <c r="K72" i="11"/>
  <c r="L72" i="11" s="1"/>
  <c r="N72" i="11"/>
  <c r="O72" i="11" s="1"/>
  <c r="K108" i="11"/>
  <c r="L108" i="11" s="1"/>
  <c r="N108" i="11"/>
  <c r="O108" i="11" s="1"/>
  <c r="Z2487" i="1"/>
  <c r="Z2541" i="1"/>
  <c r="Z2592" i="1"/>
  <c r="Z2475" i="1"/>
  <c r="C46" i="10" s="1"/>
  <c r="G79" i="10" s="1"/>
  <c r="Z2462" i="1"/>
  <c r="K133" i="11"/>
  <c r="L133" i="11" s="1"/>
  <c r="K46" i="11"/>
  <c r="L46" i="11" s="1"/>
  <c r="G100" i="11"/>
  <c r="K100" i="11" s="1"/>
  <c r="L100" i="11" s="1"/>
  <c r="K88" i="11"/>
  <c r="L88" i="11" s="1"/>
  <c r="G85" i="11"/>
  <c r="K193" i="11"/>
  <c r="L193" i="11" s="1"/>
  <c r="F150" i="11"/>
  <c r="I150" i="11" s="1"/>
  <c r="F62" i="11"/>
  <c r="I62" i="11" s="1"/>
  <c r="Z2501" i="1"/>
  <c r="Z2521" i="1"/>
  <c r="K61" i="11"/>
  <c r="L61" i="11" s="1"/>
  <c r="Y2434" i="1"/>
  <c r="S2533" i="1"/>
  <c r="Z2550" i="1"/>
  <c r="H46" i="10" s="1"/>
  <c r="B229" i="10" s="1"/>
  <c r="Z2561" i="1"/>
  <c r="Z2448" i="1"/>
  <c r="Z2466" i="1"/>
  <c r="K55" i="11"/>
  <c r="L55" i="11" s="1"/>
  <c r="N32" i="11"/>
  <c r="O32" i="11" s="1"/>
  <c r="F179" i="11"/>
  <c r="K16" i="11"/>
  <c r="L16" i="11" s="1"/>
  <c r="K205" i="11"/>
  <c r="L205" i="11" s="1"/>
  <c r="E2441" i="1"/>
  <c r="K210" i="11"/>
  <c r="L210" i="11" s="1"/>
  <c r="G52" i="11"/>
  <c r="K52" i="11" s="1"/>
  <c r="L52" i="11" s="1"/>
  <c r="K115" i="11"/>
  <c r="L115" i="11" s="1"/>
  <c r="G137" i="11"/>
  <c r="K137" i="11" s="1"/>
  <c r="L137" i="11" s="1"/>
  <c r="F151" i="11"/>
  <c r="I151" i="11" s="1"/>
  <c r="G182" i="11"/>
  <c r="K182" i="11" s="1"/>
  <c r="L182" i="11" s="1"/>
  <c r="Y2433" i="1"/>
  <c r="I221" i="11" s="1"/>
  <c r="S2458" i="1"/>
  <c r="R2483" i="1"/>
  <c r="G59" i="11"/>
  <c r="K59" i="11" s="1"/>
  <c r="L59" i="11" s="1"/>
  <c r="R2583" i="1"/>
  <c r="T2533" i="1"/>
  <c r="F43" i="11"/>
  <c r="I43" i="11" s="1"/>
  <c r="G196" i="11"/>
  <c r="Z2453" i="1"/>
  <c r="B54" i="10" s="1"/>
  <c r="F112" i="10" s="1"/>
  <c r="Z2446" i="1"/>
  <c r="Z2442" i="1"/>
  <c r="Z2477" i="1"/>
  <c r="Z2479" i="1"/>
  <c r="Z2530" i="1"/>
  <c r="Z2525" i="1"/>
  <c r="E46" i="10" s="1"/>
  <c r="D154" i="10" s="1"/>
  <c r="F108" i="11"/>
  <c r="I108" i="11" s="1"/>
  <c r="F211" i="11"/>
  <c r="I211" i="11" s="1"/>
  <c r="G10" i="11"/>
  <c r="K10" i="11" s="1"/>
  <c r="L10" i="11" s="1"/>
  <c r="U2508" i="1"/>
  <c r="Q2508" i="1"/>
  <c r="S2508" i="1"/>
  <c r="R2533" i="1"/>
  <c r="S2558" i="1"/>
  <c r="Z2437" i="1"/>
  <c r="Z2476" i="1"/>
  <c r="Z2471" i="1"/>
  <c r="Z2467" i="1"/>
  <c r="Z2502" i="1"/>
  <c r="Z2488" i="1"/>
  <c r="D39" i="10" s="1"/>
  <c r="Q341" i="6" s="1"/>
  <c r="F340" i="6" s="1"/>
  <c r="Z2528" i="1"/>
  <c r="E54" i="10" s="1"/>
  <c r="D162" i="10" s="1"/>
  <c r="Z2522" i="1"/>
  <c r="Z2529" i="1"/>
  <c r="Z2603" i="1"/>
  <c r="G54" i="10" s="1"/>
  <c r="B212" i="10" s="1"/>
  <c r="F210" i="11"/>
  <c r="I210" i="11" s="1"/>
  <c r="G58" i="11"/>
  <c r="F134" i="11"/>
  <c r="I134" i="11" s="1"/>
  <c r="F111" i="11"/>
  <c r="I111" i="11" s="1"/>
  <c r="R2558" i="1"/>
  <c r="F87" i="11"/>
  <c r="I87" i="11" s="1"/>
  <c r="G87" i="11"/>
  <c r="T2608" i="1"/>
  <c r="F55" i="11"/>
  <c r="I55" i="11" s="1"/>
  <c r="G81" i="11"/>
  <c r="F81" i="11"/>
  <c r="I81" i="11" s="1"/>
  <c r="T2508" i="1"/>
  <c r="U2533" i="1"/>
  <c r="N92" i="11"/>
  <c r="O92" i="11" s="1"/>
  <c r="K146" i="11"/>
  <c r="L146" i="11" s="1"/>
  <c r="N146" i="11"/>
  <c r="O146" i="11" s="1"/>
  <c r="K43" i="11"/>
  <c r="L43" i="11" s="1"/>
  <c r="N43" i="11"/>
  <c r="O43" i="11" s="1"/>
  <c r="N31" i="11"/>
  <c r="O31" i="11" s="1"/>
  <c r="F42" i="11"/>
  <c r="I42" i="11" s="1"/>
  <c r="G42" i="11"/>
  <c r="K142" i="11"/>
  <c r="L142" i="11" s="1"/>
  <c r="N142" i="11"/>
  <c r="O142" i="11" s="1"/>
  <c r="G18" i="11"/>
  <c r="F28" i="11"/>
  <c r="I28" i="11" s="1"/>
  <c r="G28" i="11"/>
  <c r="K22" i="11"/>
  <c r="L22" i="11" s="1"/>
  <c r="F81" i="10"/>
  <c r="E81" i="10"/>
  <c r="D81" i="10"/>
  <c r="K81" i="10"/>
  <c r="K163" i="11"/>
  <c r="L163" i="11" s="1"/>
  <c r="S2608" i="1"/>
  <c r="G147" i="11"/>
  <c r="N147" i="11" s="1"/>
  <c r="O147" i="11" s="1"/>
  <c r="F147" i="11"/>
  <c r="I147" i="11" s="1"/>
  <c r="T2558" i="1"/>
  <c r="F15" i="11"/>
  <c r="F166" i="11"/>
  <c r="I166" i="11" s="1"/>
  <c r="T2483" i="1"/>
  <c r="G74" i="11"/>
  <c r="F74" i="11"/>
  <c r="I74" i="11" s="1"/>
  <c r="G104" i="11"/>
  <c r="F104" i="11"/>
  <c r="I104" i="11" s="1"/>
  <c r="U2608" i="1"/>
  <c r="G19" i="11"/>
  <c r="F19" i="11"/>
  <c r="I19" i="11" s="1"/>
  <c r="G149" i="11"/>
  <c r="K149" i="11" s="1"/>
  <c r="L149" i="11" s="1"/>
  <c r="F149" i="11"/>
  <c r="K194" i="11"/>
  <c r="L194" i="11" s="1"/>
  <c r="N194" i="11"/>
  <c r="O194" i="11" s="1"/>
  <c r="F121" i="11"/>
  <c r="I121" i="11" s="1"/>
  <c r="G121" i="11"/>
  <c r="G51" i="11"/>
  <c r="K111" i="11"/>
  <c r="L111" i="11" s="1"/>
  <c r="F109" i="11"/>
  <c r="I109" i="11" s="1"/>
  <c r="K169" i="11"/>
  <c r="L169" i="11" s="1"/>
  <c r="G145" i="11"/>
  <c r="F145" i="11"/>
  <c r="I145" i="11" s="1"/>
  <c r="F131" i="11"/>
  <c r="I131" i="11" s="1"/>
  <c r="G131" i="11"/>
  <c r="Q2458" i="1"/>
  <c r="N78" i="11"/>
  <c r="O78" i="11" s="1"/>
  <c r="Q2483" i="1"/>
  <c r="E2465" i="1"/>
  <c r="G168" i="11"/>
  <c r="F168" i="11"/>
  <c r="I168" i="11" s="1"/>
  <c r="F198" i="11"/>
  <c r="I198" i="11" s="1"/>
  <c r="G198" i="11"/>
  <c r="F117" i="11"/>
  <c r="I117" i="11" s="1"/>
  <c r="S2583" i="1"/>
  <c r="F50" i="11"/>
  <c r="I50" i="11" s="1"/>
  <c r="G47" i="11"/>
  <c r="F135" i="11"/>
  <c r="Z2445" i="1"/>
  <c r="Z2581" i="1"/>
  <c r="R2508" i="1"/>
  <c r="U2483" i="1"/>
  <c r="Z2451" i="1"/>
  <c r="N197" i="11"/>
  <c r="O197" i="11" s="1"/>
  <c r="K197" i="11"/>
  <c r="L197" i="11" s="1"/>
  <c r="G17" i="11"/>
  <c r="F17" i="11"/>
  <c r="I17" i="11" s="1"/>
  <c r="T2458" i="1"/>
  <c r="G171" i="11"/>
  <c r="T2583" i="1"/>
  <c r="F171" i="11"/>
  <c r="I171" i="11" s="1"/>
  <c r="K136" i="11"/>
  <c r="L136" i="11" s="1"/>
  <c r="N78" i="12"/>
  <c r="N57" i="11"/>
  <c r="O57" i="11" s="1"/>
  <c r="L66" i="12"/>
  <c r="M66" i="12" s="1"/>
  <c r="L80" i="12"/>
  <c r="M80" i="12" s="1"/>
  <c r="N27" i="11"/>
  <c r="O27" i="11" s="1"/>
  <c r="K117" i="11"/>
  <c r="L117" i="11" s="1"/>
  <c r="N117" i="11"/>
  <c r="O117" i="11" s="1"/>
  <c r="D77" i="16"/>
  <c r="BG24" i="8" s="1"/>
  <c r="BH24" i="8"/>
  <c r="E112" i="13" a="1"/>
  <c r="E112" i="13" s="1"/>
  <c r="H112" i="13" s="1"/>
  <c r="N175" i="11"/>
  <c r="O175" i="11" s="1"/>
  <c r="K175" i="11"/>
  <c r="L175" i="11" s="1"/>
  <c r="N52" i="12"/>
  <c r="K89" i="11"/>
  <c r="L89" i="11" s="1"/>
  <c r="K119" i="11"/>
  <c r="L119" i="11" s="1"/>
  <c r="D97" i="16"/>
  <c r="CF24" i="8" s="1"/>
  <c r="D106" i="16"/>
  <c r="D107" i="16" s="1"/>
  <c r="N110" i="11"/>
  <c r="O110" i="11" s="1"/>
  <c r="K209" i="11"/>
  <c r="L209" i="11" s="1"/>
  <c r="O26" i="12"/>
  <c r="M24" i="12"/>
  <c r="N24" i="12" s="1"/>
  <c r="R2458" i="1"/>
  <c r="N50" i="11"/>
  <c r="O50" i="11" s="1"/>
  <c r="K50" i="11"/>
  <c r="L50" i="11" s="1"/>
  <c r="D72" i="16"/>
  <c r="AF24" i="8" s="1"/>
  <c r="M10" i="12"/>
  <c r="N10" i="12" s="1"/>
  <c r="L38" i="12"/>
  <c r="M38" i="12" s="1"/>
  <c r="K29" i="11"/>
  <c r="L29" i="11" s="1"/>
  <c r="D99" i="16"/>
  <c r="N77" i="11"/>
  <c r="O77" i="11" s="1"/>
  <c r="K77" i="11"/>
  <c r="L77" i="11" s="1"/>
  <c r="G40" i="11"/>
  <c r="F40" i="11"/>
  <c r="I40" i="11" s="1"/>
  <c r="K165" i="11"/>
  <c r="L165" i="11" s="1"/>
  <c r="N150" i="11"/>
  <c r="O150" i="11" s="1"/>
  <c r="K150" i="11"/>
  <c r="L150" i="11" s="1"/>
  <c r="K179" i="11"/>
  <c r="L179" i="11" s="1"/>
  <c r="K160" i="11"/>
  <c r="L160" i="11" s="1"/>
  <c r="N68" i="12"/>
  <c r="N42" i="12"/>
  <c r="BS24" i="8"/>
  <c r="BT24" i="8" s="1"/>
  <c r="F30" i="11"/>
  <c r="I30" i="11" s="1"/>
  <c r="G30" i="11"/>
  <c r="G207" i="11"/>
  <c r="F207" i="11"/>
  <c r="I207" i="11" s="1"/>
  <c r="N48" i="12"/>
  <c r="F22" i="11"/>
  <c r="I22" i="11" s="1"/>
  <c r="O27" i="12"/>
  <c r="N64" i="12"/>
  <c r="N211" i="11"/>
  <c r="O211" i="11" s="1"/>
  <c r="I422" i="7"/>
  <c r="B71" i="11" s="1"/>
  <c r="I420" i="7"/>
  <c r="I421" i="7"/>
  <c r="B11" i="11" s="1"/>
  <c r="I424" i="7"/>
  <c r="B131" i="11" s="1"/>
  <c r="I97" i="10" l="1"/>
  <c r="D33" i="8"/>
  <c r="E52" i="10"/>
  <c r="Q378" i="6" s="1"/>
  <c r="L155" i="10"/>
  <c r="C104" i="10"/>
  <c r="L97" i="10"/>
  <c r="J230" i="10"/>
  <c r="K155" i="10"/>
  <c r="B36" i="10"/>
  <c r="H94" i="10" s="1"/>
  <c r="Q324" i="6"/>
  <c r="F323" i="6" s="1"/>
  <c r="J323" i="6" s="1"/>
  <c r="K323" i="6" s="1"/>
  <c r="M155" i="10"/>
  <c r="G155" i="10"/>
  <c r="I179" i="11"/>
  <c r="I149" i="11"/>
  <c r="I153" i="11" s="1"/>
  <c r="B144" i="11" s="1"/>
  <c r="C36" i="16" s="1"/>
  <c r="H36" i="16" s="1"/>
  <c r="I165" i="11"/>
  <c r="I173" i="11" s="1"/>
  <c r="B160" i="11" s="1"/>
  <c r="I59" i="11"/>
  <c r="I63" i="11" s="1"/>
  <c r="B54" i="11" s="1"/>
  <c r="C18" i="16" s="1"/>
  <c r="H18" i="16" s="1"/>
  <c r="H97" i="10"/>
  <c r="B97" i="10"/>
  <c r="Q317" i="6"/>
  <c r="C97" i="10"/>
  <c r="K104" i="10"/>
  <c r="F97" i="10"/>
  <c r="H52" i="10"/>
  <c r="H235" i="10" s="1"/>
  <c r="N106" i="11"/>
  <c r="O106" i="11" s="1"/>
  <c r="L230" i="10"/>
  <c r="Q373" i="6"/>
  <c r="F155" i="10"/>
  <c r="I104" i="10"/>
  <c r="K97" i="10"/>
  <c r="B230" i="10"/>
  <c r="C155" i="10"/>
  <c r="E156" i="10"/>
  <c r="I72" i="10"/>
  <c r="Q374" i="6"/>
  <c r="F365" i="6" s="1"/>
  <c r="M365" i="6" s="1"/>
  <c r="N365" i="6" s="1"/>
  <c r="C109" i="16"/>
  <c r="F161" i="6"/>
  <c r="B160" i="6" s="1"/>
  <c r="D38" i="16" s="1"/>
  <c r="CC24" i="8" s="1"/>
  <c r="F58" i="6"/>
  <c r="CA24" i="8"/>
  <c r="CC33" i="8"/>
  <c r="F222" i="10"/>
  <c r="C40" i="13" s="1" a="1"/>
  <c r="C40" i="13" s="1"/>
  <c r="G97" i="10"/>
  <c r="B231" i="10"/>
  <c r="C29" i="13" s="1" a="1"/>
  <c r="C29" i="13" s="1"/>
  <c r="B50" i="10"/>
  <c r="L108" i="10" s="1"/>
  <c r="M97" i="10"/>
  <c r="D129" i="10"/>
  <c r="D111" i="16"/>
  <c r="H257" i="6"/>
  <c r="J257" i="6"/>
  <c r="K257" i="6" s="1"/>
  <c r="K202" i="11"/>
  <c r="L202" i="11" s="1"/>
  <c r="I427" i="7"/>
  <c r="J137" i="10"/>
  <c r="G40" i="10"/>
  <c r="Q414" i="6" s="1"/>
  <c r="J156" i="10"/>
  <c r="M104" i="10"/>
  <c r="E155" i="10"/>
  <c r="L104" i="10"/>
  <c r="G156" i="10"/>
  <c r="B156" i="10"/>
  <c r="L156" i="10"/>
  <c r="C156" i="10"/>
  <c r="B104" i="10"/>
  <c r="F230" i="10"/>
  <c r="D156" i="10"/>
  <c r="F156" i="10"/>
  <c r="B155" i="10"/>
  <c r="N177" i="11"/>
  <c r="O177" i="11" s="1"/>
  <c r="H230" i="10"/>
  <c r="J155" i="10"/>
  <c r="K156" i="10"/>
  <c r="C129" i="10"/>
  <c r="L129" i="10"/>
  <c r="H231" i="10"/>
  <c r="C53" i="13" s="1" a="1"/>
  <c r="C53" i="13" s="1"/>
  <c r="I79" i="10"/>
  <c r="J104" i="10"/>
  <c r="F181" i="10"/>
  <c r="M72" i="10"/>
  <c r="G72" i="10"/>
  <c r="E79" i="10"/>
  <c r="H72" i="10"/>
  <c r="J72" i="10"/>
  <c r="D79" i="10"/>
  <c r="K72" i="10"/>
  <c r="F72" i="10"/>
  <c r="Q293" i="6"/>
  <c r="F292" i="6" s="1"/>
  <c r="H292" i="6" s="1"/>
  <c r="J79" i="10"/>
  <c r="D72" i="10"/>
  <c r="I87" i="10"/>
  <c r="E72" i="10"/>
  <c r="J231" i="10"/>
  <c r="C65" i="13" s="1" a="1"/>
  <c r="C65" i="13" s="1"/>
  <c r="D147" i="10"/>
  <c r="L147" i="10"/>
  <c r="K200" i="11"/>
  <c r="L200" i="11" s="1"/>
  <c r="M181" i="10"/>
  <c r="C172" i="10"/>
  <c r="J147" i="10"/>
  <c r="I181" i="10"/>
  <c r="F172" i="10"/>
  <c r="Q365" i="6"/>
  <c r="F364" i="6" s="1"/>
  <c r="J364" i="6" s="1"/>
  <c r="K364" i="6" s="1"/>
  <c r="Q398" i="6"/>
  <c r="F389" i="6" s="1"/>
  <c r="M389" i="6" s="1"/>
  <c r="N389" i="6" s="1"/>
  <c r="D231" i="10"/>
  <c r="C17" i="13" s="1" a="1"/>
  <c r="C17" i="13" s="1"/>
  <c r="F231" i="10"/>
  <c r="C41" i="13" s="1" a="1"/>
  <c r="C41" i="13" s="1"/>
  <c r="F147" i="10"/>
  <c r="G181" i="10"/>
  <c r="D40" i="10"/>
  <c r="Q342" i="6" s="1"/>
  <c r="I129" i="10"/>
  <c r="L222" i="10"/>
  <c r="C76" i="13" s="1" a="1"/>
  <c r="C76" i="13" s="1"/>
  <c r="E129" i="10"/>
  <c r="H347" i="6"/>
  <c r="B222" i="10"/>
  <c r="C28" i="13" s="1" a="1"/>
  <c r="C28" i="13" s="1"/>
  <c r="D222" i="10"/>
  <c r="C16" i="13" s="1" a="1"/>
  <c r="C16" i="13" s="1"/>
  <c r="J222" i="10"/>
  <c r="C64" i="13" s="1" a="1"/>
  <c r="C64" i="13" s="1"/>
  <c r="D36" i="10"/>
  <c r="Q338" i="6" s="1"/>
  <c r="H98" i="10"/>
  <c r="L131" i="10"/>
  <c r="K147" i="10"/>
  <c r="H181" i="10"/>
  <c r="I131" i="10"/>
  <c r="B147" i="10"/>
  <c r="C181" i="10"/>
  <c r="G147" i="10"/>
  <c r="B131" i="10"/>
  <c r="K71" i="11"/>
  <c r="L71" i="11" s="1"/>
  <c r="D197" i="10"/>
  <c r="G172" i="10"/>
  <c r="H197" i="10"/>
  <c r="N86" i="11"/>
  <c r="O86" i="11" s="1"/>
  <c r="M87" i="10"/>
  <c r="L229" i="10"/>
  <c r="F197" i="10"/>
  <c r="N52" i="11"/>
  <c r="O52" i="11" s="1"/>
  <c r="H388" i="6"/>
  <c r="H131" i="10"/>
  <c r="K192" i="11"/>
  <c r="L192" i="11" s="1"/>
  <c r="N76" i="11"/>
  <c r="O76" i="11" s="1"/>
  <c r="L172" i="10"/>
  <c r="C197" i="10"/>
  <c r="K131" i="10"/>
  <c r="M172" i="10"/>
  <c r="Q420" i="6"/>
  <c r="F419" i="6" s="1"/>
  <c r="J419" i="6" s="1"/>
  <c r="K419" i="6" s="1"/>
  <c r="E197" i="10"/>
  <c r="E137" i="10"/>
  <c r="E181" i="10"/>
  <c r="G50" i="10"/>
  <c r="B208" i="10" s="1"/>
  <c r="Q396" i="6"/>
  <c r="F395" i="6" s="1"/>
  <c r="J395" i="6" s="1"/>
  <c r="K395" i="6" s="1"/>
  <c r="L181" i="10"/>
  <c r="C131" i="10"/>
  <c r="Q413" i="6"/>
  <c r="E131" i="10"/>
  <c r="I197" i="10"/>
  <c r="D172" i="10"/>
  <c r="Q350" i="6"/>
  <c r="F341" i="6" s="1"/>
  <c r="J341" i="6" s="1"/>
  <c r="K341" i="6" s="1"/>
  <c r="B197" i="10"/>
  <c r="D131" i="10"/>
  <c r="I172" i="10"/>
  <c r="J197" i="10"/>
  <c r="K197" i="10"/>
  <c r="H172" i="10"/>
  <c r="J388" i="6"/>
  <c r="K388" i="6" s="1"/>
  <c r="M131" i="10"/>
  <c r="H104" i="10"/>
  <c r="F104" i="10"/>
  <c r="K137" i="10"/>
  <c r="G36" i="10"/>
  <c r="Q410" i="6" s="1"/>
  <c r="M137" i="10"/>
  <c r="D204" i="10"/>
  <c r="B137" i="10"/>
  <c r="L79" i="10"/>
  <c r="Q300" i="6"/>
  <c r="F299" i="6" s="1"/>
  <c r="H299" i="6" s="1"/>
  <c r="D137" i="10"/>
  <c r="B204" i="10"/>
  <c r="J204" i="10"/>
  <c r="H204" i="10"/>
  <c r="J129" i="10"/>
  <c r="H137" i="10"/>
  <c r="E204" i="10"/>
  <c r="C36" i="10"/>
  <c r="G69" i="10" s="1"/>
  <c r="H129" i="10"/>
  <c r="B129" i="10"/>
  <c r="E172" i="10"/>
  <c r="M347" i="6"/>
  <c r="N347" i="6" s="1"/>
  <c r="Q318" i="6"/>
  <c r="I137" i="10"/>
  <c r="K204" i="10"/>
  <c r="M129" i="10"/>
  <c r="K129" i="10"/>
  <c r="C204" i="10"/>
  <c r="B172" i="10"/>
  <c r="F204" i="10"/>
  <c r="E147" i="10"/>
  <c r="D37" i="10"/>
  <c r="C120" i="10" s="1"/>
  <c r="C147" i="10"/>
  <c r="C137" i="10"/>
  <c r="L137" i="10"/>
  <c r="K147" i="11"/>
  <c r="L147" i="11" s="1"/>
  <c r="H79" i="10"/>
  <c r="G204" i="10"/>
  <c r="E130" i="10"/>
  <c r="G206" i="10"/>
  <c r="K25" i="11"/>
  <c r="L25" i="11" s="1"/>
  <c r="J237" i="10"/>
  <c r="H237" i="10"/>
  <c r="B237" i="10"/>
  <c r="L80" i="10"/>
  <c r="F237" i="10"/>
  <c r="L237" i="10"/>
  <c r="D237" i="10"/>
  <c r="F106" i="10"/>
  <c r="H87" i="10"/>
  <c r="J87" i="10"/>
  <c r="G112" i="10"/>
  <c r="K112" i="10"/>
  <c r="G87" i="10"/>
  <c r="L87" i="10"/>
  <c r="K87" i="10"/>
  <c r="D87" i="10"/>
  <c r="F87" i="10"/>
  <c r="E87" i="10"/>
  <c r="H36" i="10"/>
  <c r="H219" i="10" s="1"/>
  <c r="D206" i="10"/>
  <c r="D229" i="10"/>
  <c r="Q308" i="6"/>
  <c r="B179" i="10"/>
  <c r="F229" i="10"/>
  <c r="J229" i="10"/>
  <c r="K79" i="11"/>
  <c r="L79" i="11" s="1"/>
  <c r="G179" i="10"/>
  <c r="I179" i="10"/>
  <c r="K139" i="11"/>
  <c r="L139" i="11" s="1"/>
  <c r="F206" i="10"/>
  <c r="H179" i="10"/>
  <c r="F40" i="10"/>
  <c r="Q390" i="6" s="1"/>
  <c r="J206" i="10"/>
  <c r="N101" i="11"/>
  <c r="O101" i="11" s="1"/>
  <c r="Q422" i="6"/>
  <c r="F413" i="6" s="1"/>
  <c r="H413" i="6" s="1"/>
  <c r="F179" i="10"/>
  <c r="M98" i="10"/>
  <c r="F36" i="10"/>
  <c r="Q386" i="6" s="1"/>
  <c r="J94" i="10"/>
  <c r="K60" i="11"/>
  <c r="L60" i="11" s="1"/>
  <c r="B206" i="10"/>
  <c r="M179" i="10"/>
  <c r="C206" i="10"/>
  <c r="E179" i="10"/>
  <c r="I206" i="10"/>
  <c r="C179" i="10"/>
  <c r="D179" i="10"/>
  <c r="E206" i="10"/>
  <c r="D220" i="10"/>
  <c r="K199" i="11"/>
  <c r="L199" i="11" s="1"/>
  <c r="L105" i="10"/>
  <c r="H106" i="10"/>
  <c r="H220" i="10"/>
  <c r="G212" i="10"/>
  <c r="I105" i="10"/>
  <c r="B220" i="10"/>
  <c r="H80" i="10"/>
  <c r="K105" i="10"/>
  <c r="C212" i="10"/>
  <c r="M105" i="10"/>
  <c r="J105" i="10"/>
  <c r="E80" i="10"/>
  <c r="C105" i="10"/>
  <c r="N182" i="11"/>
  <c r="O182" i="11" s="1"/>
  <c r="F80" i="10"/>
  <c r="F105" i="10"/>
  <c r="N10" i="11"/>
  <c r="O10" i="11" s="1"/>
  <c r="Q326" i="6"/>
  <c r="F317" i="6" s="1"/>
  <c r="H317" i="6" s="1"/>
  <c r="B52" i="10"/>
  <c r="F220" i="10"/>
  <c r="Q325" i="6"/>
  <c r="G162" i="10"/>
  <c r="G154" i="10"/>
  <c r="H130" i="10"/>
  <c r="K73" i="11"/>
  <c r="L73" i="11" s="1"/>
  <c r="I80" i="10"/>
  <c r="E154" i="10"/>
  <c r="M130" i="10"/>
  <c r="I15" i="11"/>
  <c r="I23" i="11" s="1"/>
  <c r="B10" i="11" s="1"/>
  <c r="Q301" i="6"/>
  <c r="L130" i="10"/>
  <c r="J106" i="10"/>
  <c r="F390" i="6"/>
  <c r="H390" i="6" s="1"/>
  <c r="J80" i="10"/>
  <c r="D52" i="10"/>
  <c r="I135" i="10" s="1"/>
  <c r="M80" i="10"/>
  <c r="F54" i="13"/>
  <c r="F57" i="13" s="1"/>
  <c r="L106" i="10"/>
  <c r="N100" i="11"/>
  <c r="O100" i="11" s="1"/>
  <c r="I130" i="10"/>
  <c r="D130" i="10"/>
  <c r="K130" i="10"/>
  <c r="L154" i="10"/>
  <c r="G106" i="10"/>
  <c r="F102" i="13" a="1"/>
  <c r="F102" i="13" s="1"/>
  <c r="F105" i="13" s="1"/>
  <c r="E105" i="13" s="1" a="1"/>
  <c r="E105" i="13" s="1"/>
  <c r="H105" i="13" s="1"/>
  <c r="C106" i="10"/>
  <c r="D80" i="10"/>
  <c r="J130" i="10"/>
  <c r="H105" i="10"/>
  <c r="G105" i="10"/>
  <c r="Q372" i="6"/>
  <c r="F371" i="6" s="1"/>
  <c r="H371" i="6" s="1"/>
  <c r="K106" i="10"/>
  <c r="C52" i="10"/>
  <c r="L85" i="10" s="1"/>
  <c r="B130" i="10"/>
  <c r="Q349" i="6"/>
  <c r="K80" i="10"/>
  <c r="M250" i="6"/>
  <c r="N250" i="6" s="1"/>
  <c r="H250" i="6"/>
  <c r="J250" i="6"/>
  <c r="K250" i="6" s="1"/>
  <c r="J112" i="10"/>
  <c r="F90" i="13" a="1"/>
  <c r="F90" i="13" s="1"/>
  <c r="F93" i="13" s="1"/>
  <c r="N120" i="11"/>
  <c r="O120" i="11" s="1"/>
  <c r="K120" i="11"/>
  <c r="L120" i="11" s="1"/>
  <c r="K98" i="10"/>
  <c r="F98" i="10"/>
  <c r="B98" i="10"/>
  <c r="C98" i="10"/>
  <c r="L112" i="10"/>
  <c r="F42" i="13"/>
  <c r="F45" i="13" s="1"/>
  <c r="Q428" i="6"/>
  <c r="K79" i="10"/>
  <c r="F69" i="13"/>
  <c r="N181" i="11"/>
  <c r="O181" i="11" s="1"/>
  <c r="K181" i="11"/>
  <c r="L181" i="11" s="1"/>
  <c r="L183" i="11" s="1"/>
  <c r="B164" i="11" s="1"/>
  <c r="M106" i="10"/>
  <c r="Q332" i="6"/>
  <c r="I106" i="10"/>
  <c r="J220" i="10"/>
  <c r="G98" i="10"/>
  <c r="M112" i="10"/>
  <c r="L98" i="10"/>
  <c r="K70" i="11"/>
  <c r="L70" i="11" s="1"/>
  <c r="N70" i="11"/>
  <c r="O70" i="11" s="1"/>
  <c r="B112" i="10"/>
  <c r="F114" i="13" a="1"/>
  <c r="F114" i="13" s="1"/>
  <c r="E114" i="13" s="1" a="1"/>
  <c r="E114" i="13" s="1"/>
  <c r="H114" i="13" s="1"/>
  <c r="F78" i="13"/>
  <c r="K206" i="10"/>
  <c r="J98" i="10"/>
  <c r="K141" i="11"/>
  <c r="L141" i="11" s="1"/>
  <c r="N141" i="11"/>
  <c r="O141" i="11" s="1"/>
  <c r="H40" i="10"/>
  <c r="H229" i="10"/>
  <c r="C40" i="10"/>
  <c r="F79" i="10"/>
  <c r="M79" i="10"/>
  <c r="J46" i="10"/>
  <c r="I222" i="11"/>
  <c r="I223" i="11" s="1"/>
  <c r="B220" i="11" s="1"/>
  <c r="C42" i="16" s="1"/>
  <c r="H42" i="16" s="1"/>
  <c r="D212" i="10"/>
  <c r="I212" i="10"/>
  <c r="K212" i="10"/>
  <c r="J212" i="10"/>
  <c r="G37" i="10"/>
  <c r="F212" i="10"/>
  <c r="H212" i="10"/>
  <c r="E212" i="10"/>
  <c r="M293" i="6"/>
  <c r="N293" i="6" s="1"/>
  <c r="H293" i="6"/>
  <c r="J293" i="6"/>
  <c r="K293" i="6" s="1"/>
  <c r="J154" i="10"/>
  <c r="N137" i="11"/>
  <c r="O137" i="11" s="1"/>
  <c r="J37" i="10"/>
  <c r="G94" i="10"/>
  <c r="I112" i="10"/>
  <c r="C112" i="10"/>
  <c r="H112" i="10"/>
  <c r="B37" i="10"/>
  <c r="N58" i="11"/>
  <c r="O58" i="11" s="1"/>
  <c r="K58" i="11"/>
  <c r="L58" i="11" s="1"/>
  <c r="Q380" i="6"/>
  <c r="J162" i="10"/>
  <c r="E162" i="10"/>
  <c r="K162" i="10"/>
  <c r="F162" i="10"/>
  <c r="M162" i="10"/>
  <c r="E37" i="10"/>
  <c r="C162" i="10"/>
  <c r="B162" i="10"/>
  <c r="L162" i="10"/>
  <c r="N196" i="11"/>
  <c r="O196" i="11" s="1"/>
  <c r="K196" i="11"/>
  <c r="L196" i="11" s="1"/>
  <c r="K122" i="10"/>
  <c r="J122" i="10"/>
  <c r="H122" i="10"/>
  <c r="B122" i="10"/>
  <c r="D122" i="10"/>
  <c r="C122" i="10"/>
  <c r="M122" i="10"/>
  <c r="I122" i="10"/>
  <c r="L122" i="10"/>
  <c r="E122" i="10"/>
  <c r="E40" i="10"/>
  <c r="K154" i="10"/>
  <c r="B154" i="10"/>
  <c r="C154" i="10"/>
  <c r="M154" i="10"/>
  <c r="E36" i="10"/>
  <c r="F154" i="10"/>
  <c r="K85" i="11"/>
  <c r="L85" i="11" s="1"/>
  <c r="N85" i="11"/>
  <c r="O85" i="11" s="1"/>
  <c r="N104" i="11"/>
  <c r="O104" i="11" s="1"/>
  <c r="K104" i="11"/>
  <c r="L104" i="11" s="1"/>
  <c r="N18" i="11"/>
  <c r="O18" i="11" s="1"/>
  <c r="K18" i="11"/>
  <c r="L18" i="11" s="1"/>
  <c r="N51" i="11"/>
  <c r="O51" i="11" s="1"/>
  <c r="K51" i="11"/>
  <c r="L51" i="11" s="1"/>
  <c r="E29" i="13" a="1"/>
  <c r="E29" i="13" s="1"/>
  <c r="F177" i="6" s="1"/>
  <c r="N168" i="11"/>
  <c r="O168" i="11" s="1"/>
  <c r="K168" i="11"/>
  <c r="L168" i="11" s="1"/>
  <c r="K28" i="11"/>
  <c r="L28" i="11" s="1"/>
  <c r="N28" i="11"/>
  <c r="O28" i="11" s="1"/>
  <c r="K81" i="11"/>
  <c r="L81" i="11" s="1"/>
  <c r="N81" i="11"/>
  <c r="O81" i="11" s="1"/>
  <c r="N131" i="11"/>
  <c r="O131" i="11" s="1"/>
  <c r="K131" i="11"/>
  <c r="L131" i="11" s="1"/>
  <c r="K74" i="11"/>
  <c r="L74" i="11" s="1"/>
  <c r="N74" i="11"/>
  <c r="O74" i="11" s="1"/>
  <c r="N42" i="11"/>
  <c r="O42" i="11" s="1"/>
  <c r="K42" i="11"/>
  <c r="L42" i="11" s="1"/>
  <c r="N121" i="11"/>
  <c r="O121" i="11" s="1"/>
  <c r="K121" i="11"/>
  <c r="L121" i="11" s="1"/>
  <c r="K198" i="11"/>
  <c r="L198" i="11" s="1"/>
  <c r="N198" i="11"/>
  <c r="O198" i="11" s="1"/>
  <c r="I183" i="11"/>
  <c r="B174" i="11" s="1"/>
  <c r="C30" i="16" s="1"/>
  <c r="H30" i="16" s="1"/>
  <c r="K47" i="11"/>
  <c r="L47" i="11" s="1"/>
  <c r="N47" i="11"/>
  <c r="O47" i="11" s="1"/>
  <c r="K145" i="11"/>
  <c r="L145" i="11" s="1"/>
  <c r="N145" i="11"/>
  <c r="O145" i="11" s="1"/>
  <c r="K19" i="11"/>
  <c r="L19" i="11" s="1"/>
  <c r="N19" i="11"/>
  <c r="O19" i="11" s="1"/>
  <c r="K87" i="11"/>
  <c r="L87" i="11" s="1"/>
  <c r="N87" i="11"/>
  <c r="O87" i="11" s="1"/>
  <c r="E160" i="10"/>
  <c r="F160" i="10"/>
  <c r="D160" i="10"/>
  <c r="B160" i="10"/>
  <c r="L160" i="10"/>
  <c r="C160" i="10"/>
  <c r="K160" i="10"/>
  <c r="K40" i="11"/>
  <c r="L40" i="11" s="1"/>
  <c r="N40" i="11"/>
  <c r="O40" i="11" s="1"/>
  <c r="CO24" i="8"/>
  <c r="D109" i="16"/>
  <c r="D102" i="16"/>
  <c r="CN24" i="8" s="1"/>
  <c r="CN33" i="8" s="1"/>
  <c r="AF33" i="8"/>
  <c r="I135" i="11"/>
  <c r="I143" i="11" s="1"/>
  <c r="B130" i="11" s="1"/>
  <c r="B41" i="11"/>
  <c r="I105" i="11"/>
  <c r="I113" i="11" s="1"/>
  <c r="B100" i="11" s="1"/>
  <c r="BH33" i="8"/>
  <c r="K171" i="11"/>
  <c r="L171" i="11" s="1"/>
  <c r="N171" i="11"/>
  <c r="O171" i="11" s="1"/>
  <c r="BG33" i="8"/>
  <c r="M340" i="6"/>
  <c r="N340" i="6" s="1"/>
  <c r="J340" i="6"/>
  <c r="K340" i="6" s="1"/>
  <c r="H340" i="6"/>
  <c r="N80" i="12"/>
  <c r="N59" i="11"/>
  <c r="O59" i="11" s="1"/>
  <c r="N179" i="11"/>
  <c r="O179" i="11" s="1"/>
  <c r="N89" i="11"/>
  <c r="O89" i="11" s="1"/>
  <c r="N149" i="11"/>
  <c r="O149" i="11" s="1"/>
  <c r="N119" i="11"/>
  <c r="O119" i="11" s="1"/>
  <c r="N209" i="11"/>
  <c r="O209" i="11" s="1"/>
  <c r="N29" i="11"/>
  <c r="O29" i="11" s="1"/>
  <c r="N195" i="11"/>
  <c r="O195" i="11" s="1"/>
  <c r="N66" i="12"/>
  <c r="N165" i="11"/>
  <c r="O165" i="11" s="1"/>
  <c r="N45" i="11"/>
  <c r="O45" i="11" s="1"/>
  <c r="N15" i="11"/>
  <c r="O15" i="11" s="1"/>
  <c r="N105" i="11"/>
  <c r="O105" i="11" s="1"/>
  <c r="N135" i="11"/>
  <c r="O135" i="11" s="1"/>
  <c r="N75" i="11"/>
  <c r="O75" i="11" s="1"/>
  <c r="N17" i="11"/>
  <c r="O17" i="11" s="1"/>
  <c r="K17" i="11"/>
  <c r="L17" i="11" s="1"/>
  <c r="I209" i="11"/>
  <c r="I213" i="11" s="1"/>
  <c r="B204" i="11" s="1"/>
  <c r="C33" i="16" s="1"/>
  <c r="O24" i="12"/>
  <c r="I89" i="11"/>
  <c r="I93" i="11" s="1"/>
  <c r="B84" i="11" s="1"/>
  <c r="C24" i="16" s="1"/>
  <c r="K207" i="11"/>
  <c r="L207" i="11" s="1"/>
  <c r="L213" i="11" s="1"/>
  <c r="B194" i="11" s="1"/>
  <c r="N207" i="11"/>
  <c r="O207" i="11" s="1"/>
  <c r="K195" i="11"/>
  <c r="L195" i="11" s="1"/>
  <c r="N38" i="12"/>
  <c r="K15" i="11"/>
  <c r="L15" i="11" s="1"/>
  <c r="K45" i="11"/>
  <c r="L45" i="11" s="1"/>
  <c r="K105" i="11"/>
  <c r="L105" i="11" s="1"/>
  <c r="K135" i="11"/>
  <c r="L135" i="11" s="1"/>
  <c r="K75" i="11"/>
  <c r="L75" i="11" s="1"/>
  <c r="BS33" i="8"/>
  <c r="BT33" i="8" s="1"/>
  <c r="E198" i="10"/>
  <c r="H198" i="10"/>
  <c r="I29" i="11"/>
  <c r="I33" i="11" s="1"/>
  <c r="B24" i="11" s="1"/>
  <c r="C21" i="16" s="1"/>
  <c r="M70" i="10"/>
  <c r="Q291" i="6"/>
  <c r="F397" i="6"/>
  <c r="J70" i="10"/>
  <c r="I70" i="10"/>
  <c r="E70" i="10"/>
  <c r="H70" i="10"/>
  <c r="F70" i="10"/>
  <c r="G70" i="10"/>
  <c r="K70" i="10"/>
  <c r="D70" i="10"/>
  <c r="L70" i="10"/>
  <c r="I75" i="11"/>
  <c r="I83" i="11" s="1"/>
  <c r="B70" i="11" s="1"/>
  <c r="O10" i="12"/>
  <c r="I195" i="11"/>
  <c r="I203" i="11" s="1"/>
  <c r="B190" i="11" s="1"/>
  <c r="I45" i="11"/>
  <c r="I53" i="11" s="1"/>
  <c r="B40" i="11" s="1"/>
  <c r="N30" i="11"/>
  <c r="O30" i="11" s="1"/>
  <c r="K30" i="11"/>
  <c r="L30" i="11" s="1"/>
  <c r="CF33" i="8"/>
  <c r="CG24" i="8"/>
  <c r="I119" i="11"/>
  <c r="I123" i="11" s="1"/>
  <c r="B114" i="11" s="1"/>
  <c r="C27" i="16" s="1"/>
  <c r="M160" i="10" l="1"/>
  <c r="J160" i="10"/>
  <c r="G160" i="10"/>
  <c r="B94" i="10"/>
  <c r="F153" i="6"/>
  <c r="F141" i="6"/>
  <c r="L281" i="10"/>
  <c r="F281" i="10"/>
  <c r="D281" i="10"/>
  <c r="C20" i="13" s="1" a="1"/>
  <c r="C20" i="13" s="1"/>
  <c r="J281" i="10"/>
  <c r="C68" i="13" s="1" a="1"/>
  <c r="C68" i="13" s="1"/>
  <c r="H281" i="10"/>
  <c r="C56" i="13" s="1" a="1"/>
  <c r="C56" i="13" s="1"/>
  <c r="B281" i="10"/>
  <c r="J272" i="10"/>
  <c r="L272" i="10"/>
  <c r="C82" i="13" s="1" a="1"/>
  <c r="C82" i="13" s="1"/>
  <c r="F272" i="10"/>
  <c r="B272" i="10"/>
  <c r="C34" i="13" s="1" a="1"/>
  <c r="C34" i="13" s="1"/>
  <c r="D272" i="10"/>
  <c r="C22" i="13" s="1" a="1"/>
  <c r="C22" i="13" s="1"/>
  <c r="H272" i="10"/>
  <c r="C58" i="13" s="1" a="1"/>
  <c r="C58" i="13" s="1"/>
  <c r="F94" i="10"/>
  <c r="Q314" i="6"/>
  <c r="F326" i="6" s="1"/>
  <c r="J326" i="6" s="1"/>
  <c r="K326" i="6" s="1"/>
  <c r="M94" i="10"/>
  <c r="C94" i="10"/>
  <c r="K94" i="10"/>
  <c r="BI24" i="8"/>
  <c r="BI33" i="8" s="1"/>
  <c r="BJ33" i="8" s="1"/>
  <c r="F24" i="8"/>
  <c r="H24" i="8" s="1"/>
  <c r="AH24" i="8"/>
  <c r="AI24" i="8" s="1"/>
  <c r="L94" i="10"/>
  <c r="F235" i="10"/>
  <c r="I94" i="10"/>
  <c r="M323" i="6"/>
  <c r="N323" i="6" s="1"/>
  <c r="H323" i="6"/>
  <c r="B108" i="10"/>
  <c r="B28" i="13" s="1" a="1"/>
  <c r="B28" i="13" s="1"/>
  <c r="I108" i="10"/>
  <c r="F108" i="10"/>
  <c r="H108" i="10"/>
  <c r="J108" i="10"/>
  <c r="M108" i="10"/>
  <c r="Q328" i="6"/>
  <c r="F316" i="6" s="1"/>
  <c r="H316" i="6" s="1"/>
  <c r="D112" i="16"/>
  <c r="G108" i="10"/>
  <c r="K108" i="10"/>
  <c r="C108" i="10"/>
  <c r="D235" i="10"/>
  <c r="C18" i="13" s="1" a="1"/>
  <c r="C18" i="13" s="1"/>
  <c r="L235" i="10"/>
  <c r="J235" i="10"/>
  <c r="C66" i="13" s="1" a="1"/>
  <c r="C66" i="13" s="1"/>
  <c r="B235" i="10"/>
  <c r="C30" i="13" s="1" a="1"/>
  <c r="C30" i="13" s="1"/>
  <c r="F372" i="6"/>
  <c r="J372" i="6" s="1"/>
  <c r="K372" i="6" s="1"/>
  <c r="J365" i="6"/>
  <c r="K365" i="6" s="1"/>
  <c r="H365" i="6"/>
  <c r="K198" i="10"/>
  <c r="B198" i="10"/>
  <c r="J198" i="10"/>
  <c r="D198" i="10"/>
  <c r="F198" i="10"/>
  <c r="C198" i="10"/>
  <c r="G198" i="10"/>
  <c r="I198" i="10"/>
  <c r="G173" i="10"/>
  <c r="K119" i="10"/>
  <c r="M119" i="10"/>
  <c r="I123" i="10"/>
  <c r="C194" i="10"/>
  <c r="M364" i="6"/>
  <c r="N364" i="6" s="1"/>
  <c r="J292" i="6"/>
  <c r="K292" i="6" s="1"/>
  <c r="H419" i="6"/>
  <c r="J194" i="10"/>
  <c r="B194" i="10"/>
  <c r="E194" i="10"/>
  <c r="B53" i="13" a="1"/>
  <c r="B53" i="13" s="1"/>
  <c r="E28" i="13" a="1"/>
  <c r="E28" i="13" s="1"/>
  <c r="F176" i="6" s="1"/>
  <c r="M176" i="6" s="1"/>
  <c r="N176" i="6" s="1"/>
  <c r="F117" i="13"/>
  <c r="E117" i="13" s="1" a="1"/>
  <c r="E117" i="13" s="1"/>
  <c r="H117" i="13" s="1"/>
  <c r="E53" i="13" a="1"/>
  <c r="E53" i="13" s="1"/>
  <c r="F231" i="6" s="1"/>
  <c r="J231" i="6" s="1"/>
  <c r="K231" i="6" s="1"/>
  <c r="F350" i="6"/>
  <c r="H350" i="6" s="1"/>
  <c r="M123" i="10"/>
  <c r="F422" i="6"/>
  <c r="H422" i="6" s="1"/>
  <c r="E65" i="13" a="1"/>
  <c r="E65" i="13" s="1"/>
  <c r="F249" i="6" s="1"/>
  <c r="J249" i="6" s="1"/>
  <c r="K249" i="6" s="1"/>
  <c r="H389" i="6"/>
  <c r="H391" i="6" s="1"/>
  <c r="B388" i="6" s="1"/>
  <c r="J371" i="6"/>
  <c r="K371" i="6" s="1"/>
  <c r="L153" i="11"/>
  <c r="B134" i="11" s="1"/>
  <c r="I173" i="10"/>
  <c r="M292" i="6"/>
  <c r="N292" i="6" s="1"/>
  <c r="D135" i="10"/>
  <c r="J389" i="6"/>
  <c r="K389" i="6" s="1"/>
  <c r="F169" i="10"/>
  <c r="G169" i="10"/>
  <c r="H364" i="6"/>
  <c r="L219" i="10"/>
  <c r="C119" i="10"/>
  <c r="K123" i="10"/>
  <c r="D119" i="10"/>
  <c r="B119" i="10"/>
  <c r="C123" i="10"/>
  <c r="E89" i="13" a="1"/>
  <c r="E89" i="13" s="1"/>
  <c r="H89" i="13" s="1"/>
  <c r="F93" i="6" s="1"/>
  <c r="M93" i="6" s="1"/>
  <c r="N93" i="6" s="1"/>
  <c r="H119" i="10"/>
  <c r="H123" i="10"/>
  <c r="D208" i="10"/>
  <c r="B16" i="13" s="1" a="1"/>
  <c r="B16" i="13" s="1"/>
  <c r="B20" i="13" a="1"/>
  <c r="B20" i="13" s="1"/>
  <c r="I119" i="10"/>
  <c r="D123" i="10"/>
  <c r="E123" i="10"/>
  <c r="J119" i="10"/>
  <c r="L123" i="10"/>
  <c r="B123" i="10"/>
  <c r="E119" i="10"/>
  <c r="L119" i="10"/>
  <c r="J123" i="10"/>
  <c r="E41" i="13" a="1"/>
  <c r="E41" i="13" s="1"/>
  <c r="F213" i="6" s="1"/>
  <c r="J213" i="6" s="1"/>
  <c r="K213" i="6" s="1"/>
  <c r="M169" i="10"/>
  <c r="D56" i="13" a="1"/>
  <c r="D56" i="13" s="1"/>
  <c r="B17" i="13" a="1"/>
  <c r="B17" i="13" s="1"/>
  <c r="E52" i="13" a="1"/>
  <c r="E52" i="13" s="1"/>
  <c r="F230" i="6" s="1"/>
  <c r="M230" i="6" s="1"/>
  <c r="N230" i="6" s="1"/>
  <c r="B29" i="13" a="1"/>
  <c r="B29" i="13" s="1"/>
  <c r="E69" i="10"/>
  <c r="H169" i="10"/>
  <c r="E20" i="13" a="1"/>
  <c r="E20" i="13" s="1"/>
  <c r="F201" i="6" s="1"/>
  <c r="H201" i="6" s="1"/>
  <c r="E88" i="13" a="1"/>
  <c r="E88" i="13" s="1"/>
  <c r="H88" i="13" s="1"/>
  <c r="F92" i="6" s="1"/>
  <c r="J92" i="6" s="1"/>
  <c r="K92" i="6" s="1"/>
  <c r="B120" i="10"/>
  <c r="H120" i="10"/>
  <c r="J120" i="10"/>
  <c r="L120" i="10"/>
  <c r="F398" i="6"/>
  <c r="M398" i="6" s="1"/>
  <c r="N398" i="6" s="1"/>
  <c r="H69" i="10"/>
  <c r="Q424" i="6"/>
  <c r="F412" i="6" s="1"/>
  <c r="H412" i="6" s="1"/>
  <c r="K208" i="10"/>
  <c r="D120" i="10"/>
  <c r="J208" i="10"/>
  <c r="Q290" i="6"/>
  <c r="L69" i="10"/>
  <c r="M299" i="6"/>
  <c r="N299" i="6" s="1"/>
  <c r="M341" i="6"/>
  <c r="N341" i="6" s="1"/>
  <c r="Q339" i="6"/>
  <c r="F349" i="6" s="1"/>
  <c r="J349" i="6" s="1"/>
  <c r="K349" i="6" s="1"/>
  <c r="C208" i="10"/>
  <c r="I208" i="10"/>
  <c r="E208" i="10"/>
  <c r="D16" i="13" s="1" a="1"/>
  <c r="D16" i="13" s="1"/>
  <c r="H395" i="6"/>
  <c r="E80" i="13" a="1"/>
  <c r="E80" i="13" s="1"/>
  <c r="F273" i="6" s="1"/>
  <c r="H273" i="6" s="1"/>
  <c r="I69" i="10"/>
  <c r="J69" i="10"/>
  <c r="J299" i="6"/>
  <c r="K299" i="6" s="1"/>
  <c r="H341" i="6"/>
  <c r="K120" i="10"/>
  <c r="K69" i="10"/>
  <c r="D69" i="10"/>
  <c r="D77" i="13" a="1"/>
  <c r="D77" i="13" s="1"/>
  <c r="F208" i="10"/>
  <c r="E64" i="13" a="1"/>
  <c r="E64" i="13" s="1"/>
  <c r="F248" i="6" s="1"/>
  <c r="J248" i="6" s="1"/>
  <c r="K248" i="6" s="1"/>
  <c r="F69" i="10"/>
  <c r="E120" i="10"/>
  <c r="D41" i="13" a="1"/>
  <c r="D41" i="13" s="1"/>
  <c r="G208" i="10"/>
  <c r="M395" i="6"/>
  <c r="N395" i="6" s="1"/>
  <c r="M69" i="10"/>
  <c r="H208" i="10"/>
  <c r="F194" i="10"/>
  <c r="D173" i="10"/>
  <c r="B169" i="10"/>
  <c r="C173" i="10"/>
  <c r="C169" i="10"/>
  <c r="G194" i="10"/>
  <c r="D29" i="13" a="1"/>
  <c r="D29" i="13" s="1"/>
  <c r="E44" i="13" a="1"/>
  <c r="E44" i="13" s="1"/>
  <c r="F219" i="6" s="1"/>
  <c r="H219" i="6" s="1"/>
  <c r="M173" i="10"/>
  <c r="B173" i="10"/>
  <c r="L169" i="10"/>
  <c r="I194" i="10"/>
  <c r="B68" i="13" a="1"/>
  <c r="B68" i="13" s="1"/>
  <c r="D17" i="13" a="1"/>
  <c r="D17" i="13" s="1"/>
  <c r="E173" i="10"/>
  <c r="F173" i="10"/>
  <c r="D169" i="10"/>
  <c r="K194" i="10"/>
  <c r="B32" i="13" a="1"/>
  <c r="B32" i="13" s="1"/>
  <c r="H173" i="10"/>
  <c r="M419" i="6"/>
  <c r="N419" i="6" s="1"/>
  <c r="E169" i="10"/>
  <c r="D194" i="10"/>
  <c r="L173" i="10"/>
  <c r="I169" i="10"/>
  <c r="H194" i="10"/>
  <c r="B56" i="13" a="1"/>
  <c r="B56" i="13" s="1"/>
  <c r="M317" i="6"/>
  <c r="N317" i="6" s="1"/>
  <c r="M120" i="10"/>
  <c r="I120" i="10"/>
  <c r="E68" i="13" a="1"/>
  <c r="E68" i="13" s="1"/>
  <c r="F255" i="6" s="1"/>
  <c r="H255" i="6" s="1"/>
  <c r="F301" i="6"/>
  <c r="H301" i="6" s="1"/>
  <c r="E32" i="13" a="1"/>
  <c r="E32" i="13" s="1"/>
  <c r="F183" i="6" s="1"/>
  <c r="H183" i="6" s="1"/>
  <c r="J317" i="6"/>
  <c r="K317" i="6" s="1"/>
  <c r="B80" i="13" a="1"/>
  <c r="B80" i="13" s="1"/>
  <c r="D20" i="13" a="1"/>
  <c r="D20" i="13" s="1"/>
  <c r="L33" i="11"/>
  <c r="B14" i="11" s="1"/>
  <c r="C78" i="13" a="1"/>
  <c r="C78" i="13" s="1"/>
  <c r="J413" i="6"/>
  <c r="K413" i="6" s="1"/>
  <c r="M413" i="6"/>
  <c r="N413" i="6" s="1"/>
  <c r="M371" i="6"/>
  <c r="N371" i="6" s="1"/>
  <c r="H135" i="10"/>
  <c r="K135" i="10"/>
  <c r="L135" i="10"/>
  <c r="C135" i="10"/>
  <c r="M135" i="10"/>
  <c r="Q354" i="6"/>
  <c r="F348" i="6" s="1"/>
  <c r="E17" i="13" a="1"/>
  <c r="E17" i="13" s="1"/>
  <c r="F195" i="6" s="1"/>
  <c r="J195" i="6" s="1"/>
  <c r="K195" i="6" s="1"/>
  <c r="B65" i="13" a="1"/>
  <c r="B65" i="13" s="1"/>
  <c r="E135" i="10"/>
  <c r="B135" i="10"/>
  <c r="B77" i="13" a="1"/>
  <c r="B77" i="13" s="1"/>
  <c r="D219" i="10"/>
  <c r="D32" i="13" a="1"/>
  <c r="D32" i="13" s="1"/>
  <c r="J219" i="10"/>
  <c r="D44" i="13" a="1"/>
  <c r="D44" i="13" s="1"/>
  <c r="D65" i="13" a="1"/>
  <c r="D65" i="13" s="1"/>
  <c r="L203" i="11"/>
  <c r="B192" i="11" s="1"/>
  <c r="F219" i="10"/>
  <c r="O63" i="11"/>
  <c r="B45" i="11" s="1"/>
  <c r="B219" i="10"/>
  <c r="H249" i="6"/>
  <c r="C46" i="13" a="1"/>
  <c r="C46" i="13" s="1"/>
  <c r="M85" i="10"/>
  <c r="D76" i="13" a="1"/>
  <c r="D76" i="13" s="1"/>
  <c r="E77" i="13" a="1"/>
  <c r="E77" i="13" s="1"/>
  <c r="F267" i="6" s="1"/>
  <c r="M267" i="6" s="1"/>
  <c r="N267" i="6" s="1"/>
  <c r="C45" i="13" a="1"/>
  <c r="C45" i="13" s="1"/>
  <c r="I85" i="10"/>
  <c r="L63" i="11"/>
  <c r="B44" i="11" s="1"/>
  <c r="C54" i="13" a="1"/>
  <c r="C54" i="13" s="1"/>
  <c r="J85" i="10"/>
  <c r="F85" i="10"/>
  <c r="L123" i="11"/>
  <c r="B104" i="11" s="1"/>
  <c r="J135" i="10"/>
  <c r="F81" i="13"/>
  <c r="C81" i="13" s="1" a="1"/>
  <c r="C81" i="13" s="1"/>
  <c r="D53" i="13" a="1"/>
  <c r="D53" i="13" s="1"/>
  <c r="H141" i="6"/>
  <c r="H153" i="6"/>
  <c r="L110" i="10"/>
  <c r="H110" i="10"/>
  <c r="K110" i="10"/>
  <c r="C110" i="10"/>
  <c r="F110" i="10"/>
  <c r="Q330" i="6"/>
  <c r="F324" i="6" s="1"/>
  <c r="J324" i="6" s="1"/>
  <c r="K324" i="6" s="1"/>
  <c r="M110" i="10"/>
  <c r="G110" i="10"/>
  <c r="J110" i="10"/>
  <c r="E78" i="13" a="1"/>
  <c r="E78" i="13" s="1"/>
  <c r="F268" i="6" s="1"/>
  <c r="M268" i="6" s="1"/>
  <c r="N268" i="6" s="1"/>
  <c r="H85" i="10"/>
  <c r="D85" i="10"/>
  <c r="E102" i="13" a="1"/>
  <c r="E102" i="13" s="1"/>
  <c r="H102" i="13" s="1"/>
  <c r="F366" i="6"/>
  <c r="M366" i="6" s="1"/>
  <c r="N366" i="6" s="1"/>
  <c r="G85" i="10"/>
  <c r="F414" i="6"/>
  <c r="M414" i="6" s="1"/>
  <c r="N414" i="6" s="1"/>
  <c r="Q306" i="6"/>
  <c r="F294" i="6" s="1"/>
  <c r="J294" i="6" s="1"/>
  <c r="K294" i="6" s="1"/>
  <c r="E85" i="10"/>
  <c r="C70" i="13" a="1"/>
  <c r="C70" i="13" s="1"/>
  <c r="B110" i="10"/>
  <c r="K85" i="10"/>
  <c r="I110" i="10"/>
  <c r="E94" i="13" a="1"/>
  <c r="E94" i="13" s="1"/>
  <c r="H94" i="13" s="1"/>
  <c r="F101" i="6" s="1"/>
  <c r="H101" i="6" s="1"/>
  <c r="O83" i="11"/>
  <c r="B73" i="11" s="1"/>
  <c r="L93" i="11"/>
  <c r="B74" i="11" s="1"/>
  <c r="O143" i="11"/>
  <c r="B133" i="11" s="1"/>
  <c r="M390" i="6"/>
  <c r="N390" i="6" s="1"/>
  <c r="N391" i="6" s="1"/>
  <c r="B390" i="6" s="1"/>
  <c r="D80" i="13" a="1"/>
  <c r="D80" i="13" s="1"/>
  <c r="O113" i="11"/>
  <c r="B103" i="11" s="1"/>
  <c r="J390" i="6"/>
  <c r="K390" i="6" s="1"/>
  <c r="D68" i="13" a="1"/>
  <c r="D68" i="13" s="1"/>
  <c r="O33" i="11"/>
  <c r="B15" i="11" s="1"/>
  <c r="E69" i="13" a="1"/>
  <c r="E69" i="13" s="1"/>
  <c r="F256" i="6" s="1"/>
  <c r="F396" i="6"/>
  <c r="O123" i="11"/>
  <c r="B105" i="11" s="1"/>
  <c r="L143" i="11"/>
  <c r="B132" i="11" s="1"/>
  <c r="B44" i="13" a="1"/>
  <c r="B44" i="13" s="1"/>
  <c r="M316" i="6"/>
  <c r="N316" i="6" s="1"/>
  <c r="C42" i="13" a="1"/>
  <c r="C42" i="13" s="1"/>
  <c r="L113" i="11"/>
  <c r="B102" i="11" s="1"/>
  <c r="O203" i="11"/>
  <c r="B193" i="11" s="1"/>
  <c r="O183" i="11"/>
  <c r="B165" i="11" s="1"/>
  <c r="L173" i="11"/>
  <c r="B162" i="11" s="1"/>
  <c r="J144" i="10"/>
  <c r="K144" i="10"/>
  <c r="F144" i="10"/>
  <c r="L144" i="10"/>
  <c r="C144" i="10"/>
  <c r="Q362" i="6"/>
  <c r="M144" i="10"/>
  <c r="B144" i="10"/>
  <c r="E144" i="10"/>
  <c r="G144" i="10"/>
  <c r="D144" i="10"/>
  <c r="C57" i="13" a="1"/>
  <c r="C57" i="13" s="1"/>
  <c r="C32" i="13" a="1"/>
  <c r="C32" i="13" s="1"/>
  <c r="C80" i="13" a="1"/>
  <c r="C80" i="13" s="1"/>
  <c r="E92" i="13" a="1"/>
  <c r="E92" i="13" s="1"/>
  <c r="H92" i="13" s="1"/>
  <c r="F99" i="6" s="1"/>
  <c r="O153" i="11"/>
  <c r="B135" i="11" s="1"/>
  <c r="B76" i="13" a="1"/>
  <c r="B76" i="13" s="1"/>
  <c r="C195" i="10"/>
  <c r="I195" i="10"/>
  <c r="D195" i="10"/>
  <c r="B195" i="10"/>
  <c r="G195" i="10"/>
  <c r="K195" i="10"/>
  <c r="J195" i="10"/>
  <c r="H195" i="10"/>
  <c r="F195" i="10"/>
  <c r="B41" i="13" s="1" a="1"/>
  <c r="B41" i="13" s="1"/>
  <c r="E195" i="10"/>
  <c r="Q411" i="6"/>
  <c r="F421" i="6" s="1"/>
  <c r="M421" i="6" s="1"/>
  <c r="N421" i="6" s="1"/>
  <c r="F223" i="10"/>
  <c r="H223" i="10"/>
  <c r="C59" i="13" s="1" a="1"/>
  <c r="C59" i="13" s="1"/>
  <c r="L223" i="10"/>
  <c r="J223" i="10"/>
  <c r="D223" i="10"/>
  <c r="B223" i="10"/>
  <c r="O93" i="11"/>
  <c r="B75" i="11" s="1"/>
  <c r="E56" i="13" a="1"/>
  <c r="E56" i="13" s="1"/>
  <c r="F237" i="6" s="1"/>
  <c r="E40" i="13" a="1"/>
  <c r="E40" i="13" s="1"/>
  <c r="F212" i="6" s="1"/>
  <c r="J95" i="10"/>
  <c r="B95" i="10"/>
  <c r="C95" i="10"/>
  <c r="F95" i="10"/>
  <c r="L95" i="10"/>
  <c r="H95" i="10"/>
  <c r="G95" i="10"/>
  <c r="Q315" i="6"/>
  <c r="F325" i="6" s="1"/>
  <c r="J325" i="6" s="1"/>
  <c r="K325" i="6" s="1"/>
  <c r="K95" i="10"/>
  <c r="M95" i="10"/>
  <c r="I95" i="10"/>
  <c r="Q366" i="6"/>
  <c r="F148" i="10"/>
  <c r="M148" i="10"/>
  <c r="B148" i="10"/>
  <c r="K148" i="10"/>
  <c r="C148" i="10"/>
  <c r="G148" i="10"/>
  <c r="L148" i="10"/>
  <c r="D148" i="10"/>
  <c r="E148" i="10"/>
  <c r="J148" i="10"/>
  <c r="E73" i="10"/>
  <c r="I73" i="10"/>
  <c r="D73" i="10"/>
  <c r="K73" i="10"/>
  <c r="H73" i="10"/>
  <c r="L73" i="10"/>
  <c r="F73" i="10"/>
  <c r="J73" i="10"/>
  <c r="G73" i="10"/>
  <c r="Q294" i="6"/>
  <c r="M73" i="10"/>
  <c r="L145" i="10"/>
  <c r="E145" i="10"/>
  <c r="K145" i="10"/>
  <c r="C145" i="10"/>
  <c r="F145" i="10"/>
  <c r="G145" i="10"/>
  <c r="Q363" i="6"/>
  <c r="F373" i="6" s="1"/>
  <c r="H373" i="6" s="1"/>
  <c r="D145" i="10"/>
  <c r="B145" i="10"/>
  <c r="M145" i="10"/>
  <c r="J145" i="10"/>
  <c r="O213" i="11"/>
  <c r="B195" i="11" s="1"/>
  <c r="H177" i="6"/>
  <c r="J177" i="6"/>
  <c r="K177" i="6" s="1"/>
  <c r="M177" i="6"/>
  <c r="N177" i="6" s="1"/>
  <c r="O173" i="11"/>
  <c r="B163" i="11" s="1"/>
  <c r="L83" i="11"/>
  <c r="B72" i="11" s="1"/>
  <c r="L23" i="11"/>
  <c r="B12" i="11" s="1"/>
  <c r="E57" i="13" a="1"/>
  <c r="E57" i="13" s="1"/>
  <c r="F238" i="6" s="1"/>
  <c r="H238" i="6" s="1"/>
  <c r="H27" i="16"/>
  <c r="H24" i="16"/>
  <c r="H33" i="16"/>
  <c r="CG33" i="8"/>
  <c r="E34" i="13" a="1"/>
  <c r="E34" i="13" s="1"/>
  <c r="F185" i="6" s="1"/>
  <c r="H21" i="16"/>
  <c r="J398" i="6"/>
  <c r="K398" i="6" s="1"/>
  <c r="O23" i="11"/>
  <c r="B13" i="11" s="1"/>
  <c r="CO33" i="8"/>
  <c r="CQ33" i="8" s="1"/>
  <c r="CR33" i="8" s="1"/>
  <c r="Y24" i="8"/>
  <c r="AQ24" i="8"/>
  <c r="CQ24" i="8"/>
  <c r="CR24" i="8" s="1"/>
  <c r="AZ24" i="8"/>
  <c r="F140" i="6"/>
  <c r="H140" i="6" s="1"/>
  <c r="F103" i="6"/>
  <c r="H103" i="6" s="1"/>
  <c r="J397" i="6"/>
  <c r="K397" i="6" s="1"/>
  <c r="M397" i="6"/>
  <c r="N397" i="6" s="1"/>
  <c r="H397" i="6"/>
  <c r="E54" i="13" a="1"/>
  <c r="E54" i="13" s="1"/>
  <c r="F232" i="6" s="1"/>
  <c r="O53" i="11"/>
  <c r="B43" i="11" s="1"/>
  <c r="L53" i="11"/>
  <c r="B42" i="11" s="1"/>
  <c r="C33" i="13" l="1" a="1"/>
  <c r="C33" i="13" s="1"/>
  <c r="E23" i="13" a="1"/>
  <c r="E23" i="13" s="1"/>
  <c r="F204" i="6" s="1"/>
  <c r="H204" i="6" s="1"/>
  <c r="C21" i="13" a="1"/>
  <c r="C21" i="13" s="1"/>
  <c r="D45" i="13" a="1"/>
  <c r="D45" i="13" s="1"/>
  <c r="J422" i="6"/>
  <c r="K422" i="6" s="1"/>
  <c r="D40" i="13" a="1"/>
  <c r="D40" i="13" s="1"/>
  <c r="M422" i="6"/>
  <c r="N422" i="6" s="1"/>
  <c r="B21" i="13" a="1"/>
  <c r="B21" i="13" s="1"/>
  <c r="BJ24" i="8"/>
  <c r="J316" i="6"/>
  <c r="K316" i="6" s="1"/>
  <c r="I24" i="8"/>
  <c r="J24" i="8" s="1"/>
  <c r="CB24" i="8" s="1"/>
  <c r="B52" i="13" a="1"/>
  <c r="B52" i="13" s="1"/>
  <c r="D52" i="13" a="1"/>
  <c r="D52" i="13" s="1"/>
  <c r="E16" i="13" a="1"/>
  <c r="E16" i="13" s="1"/>
  <c r="F194" i="6" s="1"/>
  <c r="H194" i="6" s="1"/>
  <c r="B40" i="13" a="1"/>
  <c r="B40" i="13" s="1"/>
  <c r="E93" i="13" a="1"/>
  <c r="E93" i="13" s="1"/>
  <c r="H93" i="13" s="1"/>
  <c r="F100" i="6" s="1"/>
  <c r="H100" i="6" s="1"/>
  <c r="E90" i="13" a="1"/>
  <c r="E90" i="13" s="1"/>
  <c r="H90" i="13" s="1"/>
  <c r="F94" i="6" s="1"/>
  <c r="J94" i="6" s="1"/>
  <c r="K94" i="6" s="1"/>
  <c r="M372" i="6"/>
  <c r="N372" i="6" s="1"/>
  <c r="H372" i="6"/>
  <c r="H375" i="6" s="1"/>
  <c r="B370" i="6" s="1"/>
  <c r="E27" i="16" s="1"/>
  <c r="N367" i="6"/>
  <c r="B366" i="6" s="1"/>
  <c r="D28" i="13" a="1"/>
  <c r="D28" i="13" s="1"/>
  <c r="H28" i="13" s="1"/>
  <c r="F36" i="6" s="1"/>
  <c r="M36" i="6" s="1"/>
  <c r="N36" i="6" s="1"/>
  <c r="D64" i="13" a="1"/>
  <c r="D64" i="13" s="1"/>
  <c r="C69" i="13" a="1"/>
  <c r="C69" i="13" s="1"/>
  <c r="M249" i="6"/>
  <c r="N249" i="6" s="1"/>
  <c r="J350" i="6"/>
  <c r="K350" i="6" s="1"/>
  <c r="H53" i="13"/>
  <c r="F75" i="6" s="1"/>
  <c r="J75" i="6" s="1"/>
  <c r="K75" i="6" s="1"/>
  <c r="M350" i="6"/>
  <c r="N350" i="6" s="1"/>
  <c r="C83" i="13" a="1"/>
  <c r="C83" i="13" s="1"/>
  <c r="B30" i="13" a="1"/>
  <c r="B30" i="13" s="1"/>
  <c r="J101" i="6"/>
  <c r="K101" i="6" s="1"/>
  <c r="H231" i="6"/>
  <c r="M231" i="6"/>
  <c r="N231" i="6" s="1"/>
  <c r="J93" i="6"/>
  <c r="K93" i="6" s="1"/>
  <c r="H93" i="6"/>
  <c r="K295" i="6"/>
  <c r="B293" i="6" s="1"/>
  <c r="K251" i="6"/>
  <c r="B249" i="6" s="1"/>
  <c r="J176" i="6"/>
  <c r="K176" i="6" s="1"/>
  <c r="H176" i="6"/>
  <c r="M349" i="6"/>
  <c r="N349" i="6" s="1"/>
  <c r="H326" i="6"/>
  <c r="H349" i="6"/>
  <c r="H92" i="6"/>
  <c r="M326" i="6"/>
  <c r="N326" i="6" s="1"/>
  <c r="M92" i="6"/>
  <c r="N92" i="6" s="1"/>
  <c r="K391" i="6"/>
  <c r="B389" i="6" s="1"/>
  <c r="M201" i="6"/>
  <c r="N201" i="6" s="1"/>
  <c r="H398" i="6"/>
  <c r="H41" i="13"/>
  <c r="F55" i="6" s="1"/>
  <c r="H55" i="6" s="1"/>
  <c r="M213" i="6"/>
  <c r="N213" i="6" s="1"/>
  <c r="H29" i="13"/>
  <c r="F37" i="6" s="1"/>
  <c r="J37" i="6" s="1"/>
  <c r="K37" i="6" s="1"/>
  <c r="H20" i="13"/>
  <c r="F25" i="6" s="1"/>
  <c r="J25" i="6" s="1"/>
  <c r="K25" i="6" s="1"/>
  <c r="H213" i="6"/>
  <c r="M248" i="6"/>
  <c r="N248" i="6" s="1"/>
  <c r="M101" i="6"/>
  <c r="N101" i="6" s="1"/>
  <c r="E46" i="13" a="1"/>
  <c r="E46" i="13" s="1"/>
  <c r="F221" i="6" s="1"/>
  <c r="M221" i="6" s="1"/>
  <c r="N221" i="6" s="1"/>
  <c r="E47" i="13" a="1"/>
  <c r="E47" i="13" s="1"/>
  <c r="F222" i="6" s="1"/>
  <c r="H222" i="6" s="1"/>
  <c r="H230" i="6"/>
  <c r="D42" i="13" a="1"/>
  <c r="D42" i="13" s="1"/>
  <c r="J230" i="6"/>
  <c r="K230" i="6" s="1"/>
  <c r="H248" i="6"/>
  <c r="H251" i="6" s="1"/>
  <c r="B248" i="6" s="1"/>
  <c r="J201" i="6"/>
  <c r="K201" i="6" s="1"/>
  <c r="B78" i="13" a="1"/>
  <c r="B78" i="13" s="1"/>
  <c r="H195" i="6"/>
  <c r="B59" i="13" a="1"/>
  <c r="B59" i="13" s="1"/>
  <c r="F342" i="6"/>
  <c r="J342" i="6" s="1"/>
  <c r="K342" i="6" s="1"/>
  <c r="K343" i="6" s="1"/>
  <c r="B341" i="6" s="1"/>
  <c r="F420" i="6"/>
  <c r="H420" i="6" s="1"/>
  <c r="E83" i="13" a="1"/>
  <c r="E83" i="13" s="1"/>
  <c r="F276" i="6" s="1"/>
  <c r="H276" i="6" s="1"/>
  <c r="F302" i="6"/>
  <c r="M302" i="6" s="1"/>
  <c r="N302" i="6" s="1"/>
  <c r="H77" i="13"/>
  <c r="F130" i="6" s="1"/>
  <c r="M130" i="6" s="1"/>
  <c r="N130" i="6" s="1"/>
  <c r="M273" i="6"/>
  <c r="N273" i="6" s="1"/>
  <c r="J219" i="6"/>
  <c r="K219" i="6" s="1"/>
  <c r="J273" i="6"/>
  <c r="K273" i="6" s="1"/>
  <c r="E76" i="13" a="1"/>
  <c r="E76" i="13" s="1"/>
  <c r="F266" i="6" s="1"/>
  <c r="M266" i="6" s="1"/>
  <c r="N266" i="6" s="1"/>
  <c r="N269" i="6" s="1"/>
  <c r="J301" i="6"/>
  <c r="K301" i="6" s="1"/>
  <c r="M219" i="6"/>
  <c r="N219" i="6" s="1"/>
  <c r="M255" i="6"/>
  <c r="N255" i="6" s="1"/>
  <c r="D59" i="13" a="1"/>
  <c r="D59" i="13" s="1"/>
  <c r="C47" i="13" a="1"/>
  <c r="C47" i="13" s="1"/>
  <c r="J255" i="6"/>
  <c r="K255" i="6" s="1"/>
  <c r="H414" i="6"/>
  <c r="J414" i="6"/>
  <c r="K414" i="6" s="1"/>
  <c r="J412" i="6"/>
  <c r="K412" i="6" s="1"/>
  <c r="D30" i="13" a="1"/>
  <c r="D30" i="13" s="1"/>
  <c r="H68" i="13"/>
  <c r="F118" i="6" s="1"/>
  <c r="H118" i="6" s="1"/>
  <c r="D69" i="13" a="1"/>
  <c r="D69" i="13" s="1"/>
  <c r="E71" i="13" a="1"/>
  <c r="E71" i="13" s="1"/>
  <c r="F258" i="6" s="1"/>
  <c r="M258" i="6" s="1"/>
  <c r="N258" i="6" s="1"/>
  <c r="M412" i="6"/>
  <c r="N412" i="6" s="1"/>
  <c r="N415" i="6" s="1"/>
  <c r="H415" i="6"/>
  <c r="J366" i="6"/>
  <c r="K366" i="6" s="1"/>
  <c r="K367" i="6" s="1"/>
  <c r="B365" i="6" s="1"/>
  <c r="B64" i="13" a="1"/>
  <c r="B64" i="13" s="1"/>
  <c r="F318" i="6"/>
  <c r="M318" i="6" s="1"/>
  <c r="N318" i="6" s="1"/>
  <c r="N319" i="6" s="1"/>
  <c r="B318" i="6" s="1"/>
  <c r="D57" i="13" a="1"/>
  <c r="D57" i="13" s="1"/>
  <c r="H32" i="13"/>
  <c r="F43" i="6" s="1"/>
  <c r="M43" i="6" s="1"/>
  <c r="N43" i="6" s="1"/>
  <c r="H268" i="6"/>
  <c r="J183" i="6"/>
  <c r="K183" i="6" s="1"/>
  <c r="M301" i="6"/>
  <c r="N301" i="6" s="1"/>
  <c r="M183" i="6"/>
  <c r="N183" i="6" s="1"/>
  <c r="J268" i="6"/>
  <c r="K268" i="6" s="1"/>
  <c r="D22" i="13" a="1"/>
  <c r="D22" i="13" s="1"/>
  <c r="C23" i="13" a="1"/>
  <c r="C23" i="13" s="1"/>
  <c r="C71" i="13" a="1"/>
  <c r="C71" i="13" s="1"/>
  <c r="D18" i="13" a="1"/>
  <c r="D18" i="13" s="1"/>
  <c r="B57" i="13" a="1"/>
  <c r="B57" i="13" s="1"/>
  <c r="B45" i="13" a="1"/>
  <c r="B45" i="13" s="1"/>
  <c r="B71" i="13" a="1"/>
  <c r="B71" i="13" s="1"/>
  <c r="B54" i="13" a="1"/>
  <c r="B54" i="13" s="1"/>
  <c r="H267" i="6"/>
  <c r="E42" i="13" a="1"/>
  <c r="E42" i="13" s="1"/>
  <c r="F214" i="6" s="1"/>
  <c r="M214" i="6" s="1"/>
  <c r="N214" i="6" s="1"/>
  <c r="E21" i="13" a="1"/>
  <c r="E21" i="13" s="1"/>
  <c r="F202" i="6" s="1"/>
  <c r="J202" i="6" s="1"/>
  <c r="K202" i="6" s="1"/>
  <c r="B83" i="13" a="1"/>
  <c r="B83" i="13" s="1"/>
  <c r="B18" i="13" a="1"/>
  <c r="B18" i="13" s="1"/>
  <c r="D83" i="13" a="1"/>
  <c r="D83" i="13" s="1"/>
  <c r="E45" i="13" a="1"/>
  <c r="E45" i="13" s="1"/>
  <c r="F220" i="6" s="1"/>
  <c r="F300" i="6"/>
  <c r="J204" i="6"/>
  <c r="K204" i="6" s="1"/>
  <c r="M195" i="6"/>
  <c r="N195" i="6" s="1"/>
  <c r="H17" i="13"/>
  <c r="F19" i="6" s="1"/>
  <c r="H19" i="6" s="1"/>
  <c r="H294" i="6"/>
  <c r="H296" i="6" s="1"/>
  <c r="B292" i="6" s="1"/>
  <c r="M294" i="6"/>
  <c r="N294" i="6" s="1"/>
  <c r="N295" i="6" s="1"/>
  <c r="B294" i="6" s="1"/>
  <c r="D33" i="13" a="1"/>
  <c r="D33" i="13" s="1"/>
  <c r="D54" i="13" a="1"/>
  <c r="D54" i="13" s="1"/>
  <c r="D21" i="13" a="1"/>
  <c r="D21" i="13" s="1"/>
  <c r="H65" i="13"/>
  <c r="F112" i="6" s="1"/>
  <c r="J112" i="6" s="1"/>
  <c r="K112" i="6" s="1"/>
  <c r="H324" i="6"/>
  <c r="M324" i="6"/>
  <c r="N324" i="6" s="1"/>
  <c r="B42" i="13" a="1"/>
  <c r="B42" i="13" s="1"/>
  <c r="J267" i="6"/>
  <c r="K267" i="6" s="1"/>
  <c r="E81" i="13" a="1"/>
  <c r="E81" i="13" s="1"/>
  <c r="F274" i="6" s="1"/>
  <c r="J274" i="6" s="1"/>
  <c r="K274" i="6" s="1"/>
  <c r="D81" i="13" a="1"/>
  <c r="D81" i="13" s="1"/>
  <c r="E33" i="13" a="1"/>
  <c r="E33" i="13" s="1"/>
  <c r="F184" i="6" s="1"/>
  <c r="M184" i="6" s="1"/>
  <c r="N184" i="6" s="1"/>
  <c r="D35" i="13" a="1"/>
  <c r="D35" i="13" s="1"/>
  <c r="B35" i="13" a="1"/>
  <c r="B35" i="13" s="1"/>
  <c r="D47" i="13" a="1"/>
  <c r="D47" i="13" s="1"/>
  <c r="M373" i="6"/>
  <c r="N373" i="6" s="1"/>
  <c r="B58" i="13" a="1"/>
  <c r="B58" i="13" s="1"/>
  <c r="J373" i="6"/>
  <c r="K373" i="6" s="1"/>
  <c r="K375" i="6" s="1"/>
  <c r="B367" i="6" s="1"/>
  <c r="H325" i="6"/>
  <c r="E118" i="13" a="1"/>
  <c r="E118" i="13" s="1"/>
  <c r="H118" i="13" s="1"/>
  <c r="F152" i="6" s="1"/>
  <c r="M152" i="6" s="1"/>
  <c r="N152" i="6" s="1"/>
  <c r="D78" i="13" a="1"/>
  <c r="D78" i="13" s="1"/>
  <c r="B99" i="11"/>
  <c r="C26" i="16" s="1"/>
  <c r="H26" i="16" s="1"/>
  <c r="D66" i="13" a="1"/>
  <c r="D66" i="13" s="1"/>
  <c r="B189" i="11"/>
  <c r="C32" i="16" s="1"/>
  <c r="H32" i="16" s="1"/>
  <c r="B66" i="13" a="1"/>
  <c r="B66" i="13" s="1"/>
  <c r="E18" i="13" a="1"/>
  <c r="E18" i="13" s="1"/>
  <c r="F196" i="6" s="1"/>
  <c r="H366" i="6"/>
  <c r="H367" i="6" s="1"/>
  <c r="B364" i="6" s="1"/>
  <c r="H80" i="13"/>
  <c r="F136" i="6" s="1"/>
  <c r="H136" i="6" s="1"/>
  <c r="D23" i="13" a="1"/>
  <c r="D23" i="13" s="1"/>
  <c r="H56" i="13"/>
  <c r="F81" i="6" s="1"/>
  <c r="J81" i="6" s="1"/>
  <c r="K81" i="6" s="1"/>
  <c r="B33" i="13" a="1"/>
  <c r="B33" i="13" s="1"/>
  <c r="B69" i="13" a="1"/>
  <c r="B69" i="13" s="1"/>
  <c r="B81" i="13" a="1"/>
  <c r="B81" i="13" s="1"/>
  <c r="E30" i="13" a="1"/>
  <c r="E30" i="13" s="1"/>
  <c r="F178" i="6" s="1"/>
  <c r="B82" i="13" a="1"/>
  <c r="B82" i="13" s="1"/>
  <c r="B69" i="11"/>
  <c r="C23" i="16" s="1"/>
  <c r="H23" i="16" s="1"/>
  <c r="B22" i="13" a="1"/>
  <c r="B22" i="13" s="1"/>
  <c r="B129" i="11"/>
  <c r="C35" i="16" s="1"/>
  <c r="H35" i="16" s="1"/>
  <c r="F132" i="6" s="1"/>
  <c r="F374" i="6"/>
  <c r="E35" i="13" a="1"/>
  <c r="E35" i="13" s="1"/>
  <c r="F186" i="6" s="1"/>
  <c r="M186" i="6" s="1"/>
  <c r="N186" i="6" s="1"/>
  <c r="B46" i="13" a="1"/>
  <c r="B46" i="13" s="1"/>
  <c r="D58" i="13" a="1"/>
  <c r="D58" i="13" s="1"/>
  <c r="D34" i="13" a="1"/>
  <c r="D34" i="13" s="1"/>
  <c r="M325" i="6"/>
  <c r="N325" i="6" s="1"/>
  <c r="D46" i="13" a="1"/>
  <c r="D46" i="13" s="1"/>
  <c r="M396" i="6"/>
  <c r="N396" i="6" s="1"/>
  <c r="N399" i="6" s="1"/>
  <c r="B392" i="6" s="1"/>
  <c r="J396" i="6"/>
  <c r="K396" i="6" s="1"/>
  <c r="K399" i="6" s="1"/>
  <c r="B391" i="6" s="1"/>
  <c r="H396" i="6"/>
  <c r="H399" i="6" s="1"/>
  <c r="B394" i="6" s="1"/>
  <c r="E30" i="16" s="1"/>
  <c r="H256" i="6"/>
  <c r="M256" i="6"/>
  <c r="N256" i="6" s="1"/>
  <c r="J256" i="6"/>
  <c r="K256" i="6" s="1"/>
  <c r="H421" i="6"/>
  <c r="D82" i="13" a="1"/>
  <c r="D82" i="13" s="1"/>
  <c r="B47" i="13" a="1"/>
  <c r="B47" i="13" s="1"/>
  <c r="D70" i="13" a="1"/>
  <c r="D70" i="13" s="1"/>
  <c r="B70" i="13" a="1"/>
  <c r="B70" i="13" s="1"/>
  <c r="D71" i="13" a="1"/>
  <c r="D71" i="13" s="1"/>
  <c r="B23" i="13" a="1"/>
  <c r="B23" i="13" s="1"/>
  <c r="B159" i="11"/>
  <c r="C29" i="16" s="1"/>
  <c r="H29" i="16" s="1"/>
  <c r="J421" i="6"/>
  <c r="K421" i="6" s="1"/>
  <c r="M238" i="6"/>
  <c r="N238" i="6" s="1"/>
  <c r="M212" i="6"/>
  <c r="N212" i="6" s="1"/>
  <c r="H212" i="6"/>
  <c r="J212" i="6"/>
  <c r="K212" i="6" s="1"/>
  <c r="J237" i="6"/>
  <c r="K237" i="6" s="1"/>
  <c r="H237" i="6"/>
  <c r="M237" i="6"/>
  <c r="N237" i="6" s="1"/>
  <c r="E58" i="13" a="1"/>
  <c r="E58" i="13" s="1"/>
  <c r="F239" i="6" s="1"/>
  <c r="E82" i="13" a="1"/>
  <c r="E82" i="13" s="1"/>
  <c r="F275" i="6" s="1"/>
  <c r="J99" i="6"/>
  <c r="K99" i="6" s="1"/>
  <c r="H99" i="6"/>
  <c r="M99" i="6"/>
  <c r="N99" i="6" s="1"/>
  <c r="C35" i="13" a="1"/>
  <c r="C35" i="13" s="1"/>
  <c r="E95" i="13" a="1"/>
  <c r="E95" i="13" s="1"/>
  <c r="H95" i="13" s="1"/>
  <c r="F102" i="6" s="1"/>
  <c r="E59" i="13" a="1"/>
  <c r="E59" i="13" s="1"/>
  <c r="F240" i="6" s="1"/>
  <c r="E22" i="13" a="1"/>
  <c r="E22" i="13" s="1"/>
  <c r="F203" i="6" s="1"/>
  <c r="B34" i="13" a="1"/>
  <c r="B34" i="13" s="1"/>
  <c r="E116" i="13" a="1"/>
  <c r="E116" i="13" s="1"/>
  <c r="H116" i="13" s="1"/>
  <c r="F151" i="6" s="1"/>
  <c r="C44" i="13" a="1"/>
  <c r="C44" i="13" s="1"/>
  <c r="H44" i="13" s="1"/>
  <c r="F62" i="6" s="1"/>
  <c r="H348" i="6"/>
  <c r="J348" i="6"/>
  <c r="K348" i="6" s="1"/>
  <c r="M348" i="6"/>
  <c r="N348" i="6" s="1"/>
  <c r="B39" i="11"/>
  <c r="C17" i="16" s="1"/>
  <c r="H17" i="16" s="1"/>
  <c r="K327" i="6"/>
  <c r="B319" i="6" s="1"/>
  <c r="B9" i="11"/>
  <c r="C20" i="16" s="1"/>
  <c r="H20" i="16" s="1"/>
  <c r="J238" i="6"/>
  <c r="K238" i="6" s="1"/>
  <c r="H232" i="6"/>
  <c r="M232" i="6"/>
  <c r="N232" i="6" s="1"/>
  <c r="J232" i="6"/>
  <c r="K232" i="6" s="1"/>
  <c r="AH33" i="8"/>
  <c r="AI33" i="8" s="1"/>
  <c r="AZ33" i="8"/>
  <c r="BA33" i="8" s="1"/>
  <c r="BA24" i="8"/>
  <c r="AQ33" i="8"/>
  <c r="AR33" i="8" s="1"/>
  <c r="AR24" i="8"/>
  <c r="Y33" i="8"/>
  <c r="Z33" i="8" s="1"/>
  <c r="Z24" i="8"/>
  <c r="F33" i="8"/>
  <c r="H185" i="6"/>
  <c r="J185" i="6"/>
  <c r="K185" i="6" s="1"/>
  <c r="M185" i="6"/>
  <c r="N185" i="6" s="1"/>
  <c r="J194" i="6" l="1"/>
  <c r="K194" i="6" s="1"/>
  <c r="M194" i="6"/>
  <c r="N194" i="6" s="1"/>
  <c r="H16" i="13"/>
  <c r="F18" i="6" s="1"/>
  <c r="H18" i="6" s="1"/>
  <c r="J100" i="6"/>
  <c r="K100" i="6" s="1"/>
  <c r="M204" i="6"/>
  <c r="N204" i="6" s="1"/>
  <c r="K96" i="6"/>
  <c r="B93" i="6" s="1"/>
  <c r="H40" i="13"/>
  <c r="F54" i="6" s="1"/>
  <c r="J54" i="6" s="1"/>
  <c r="K54" i="6" s="1"/>
  <c r="H52" i="13"/>
  <c r="F74" i="6" s="1"/>
  <c r="H74" i="6" s="1"/>
  <c r="M94" i="6"/>
  <c r="N94" i="6" s="1"/>
  <c r="N96" i="6" s="1"/>
  <c r="B94" i="6" s="1"/>
  <c r="K351" i="6"/>
  <c r="B343" i="6" s="1"/>
  <c r="H94" i="6"/>
  <c r="H96" i="6" s="1"/>
  <c r="B92" i="6" s="1"/>
  <c r="H342" i="6"/>
  <c r="H343" i="6" s="1"/>
  <c r="B340" i="6" s="1"/>
  <c r="H75" i="6"/>
  <c r="M75" i="6"/>
  <c r="N75" i="6" s="1"/>
  <c r="N375" i="6"/>
  <c r="B368" i="6" s="1"/>
  <c r="B363" i="6" s="1"/>
  <c r="E26" i="16" s="1"/>
  <c r="M100" i="6"/>
  <c r="N100" i="6" s="1"/>
  <c r="H64" i="13"/>
  <c r="F111" i="6" s="1"/>
  <c r="H111" i="6" s="1"/>
  <c r="N251" i="6"/>
  <c r="B250" i="6" s="1"/>
  <c r="J36" i="6"/>
  <c r="K36" i="6" s="1"/>
  <c r="H36" i="6"/>
  <c r="N233" i="6"/>
  <c r="B232" i="6" s="1"/>
  <c r="M222" i="6"/>
  <c r="N222" i="6" s="1"/>
  <c r="N351" i="6"/>
  <c r="B344" i="6" s="1"/>
  <c r="H233" i="6"/>
  <c r="B230" i="6" s="1"/>
  <c r="J222" i="6"/>
  <c r="K222" i="6" s="1"/>
  <c r="M342" i="6"/>
  <c r="N342" i="6" s="1"/>
  <c r="N343" i="6" s="1"/>
  <c r="B342" i="6" s="1"/>
  <c r="H351" i="6"/>
  <c r="B347" i="6" s="1"/>
  <c r="E24" i="16" s="1"/>
  <c r="J55" i="6"/>
  <c r="K55" i="6" s="1"/>
  <c r="M55" i="6"/>
  <c r="N55" i="6" s="1"/>
  <c r="J19" i="6"/>
  <c r="K19" i="6" s="1"/>
  <c r="M420" i="6"/>
  <c r="N420" i="6" s="1"/>
  <c r="N423" i="6" s="1"/>
  <c r="B416" i="6" s="1"/>
  <c r="M25" i="6"/>
  <c r="N25" i="6" s="1"/>
  <c r="H25" i="6"/>
  <c r="M118" i="6"/>
  <c r="N118" i="6" s="1"/>
  <c r="M37" i="6"/>
  <c r="N37" i="6" s="1"/>
  <c r="H37" i="6"/>
  <c r="J118" i="6"/>
  <c r="K118" i="6" s="1"/>
  <c r="H221" i="6"/>
  <c r="J221" i="6"/>
  <c r="K221" i="6" s="1"/>
  <c r="M18" i="6"/>
  <c r="N18" i="6" s="1"/>
  <c r="H78" i="13"/>
  <c r="F131" i="6" s="1"/>
  <c r="H131" i="6" s="1"/>
  <c r="J318" i="6"/>
  <c r="K318" i="6" s="1"/>
  <c r="K319" i="6" s="1"/>
  <c r="B317" i="6" s="1"/>
  <c r="H318" i="6"/>
  <c r="H320" i="6" s="1"/>
  <c r="B316" i="6" s="1"/>
  <c r="H71" i="13"/>
  <c r="F121" i="6" s="1"/>
  <c r="M121" i="6" s="1"/>
  <c r="N121" i="6" s="1"/>
  <c r="H130" i="6"/>
  <c r="H302" i="6"/>
  <c r="J302" i="6"/>
  <c r="K302" i="6" s="1"/>
  <c r="J420" i="6"/>
  <c r="K420" i="6" s="1"/>
  <c r="K423" i="6" s="1"/>
  <c r="B415" i="6" s="1"/>
  <c r="M276" i="6"/>
  <c r="N276" i="6" s="1"/>
  <c r="H112" i="6"/>
  <c r="K233" i="6"/>
  <c r="B231" i="6" s="1"/>
  <c r="H45" i="13"/>
  <c r="F63" i="6" s="1"/>
  <c r="H63" i="6" s="1"/>
  <c r="J43" i="6"/>
  <c r="K43" i="6" s="1"/>
  <c r="H69" i="13"/>
  <c r="F119" i="6" s="1"/>
  <c r="H119" i="6" s="1"/>
  <c r="H43" i="6"/>
  <c r="H57" i="13"/>
  <c r="F82" i="6" s="1"/>
  <c r="J82" i="6" s="1"/>
  <c r="K82" i="6" s="1"/>
  <c r="J130" i="6"/>
  <c r="K130" i="6" s="1"/>
  <c r="J276" i="6"/>
  <c r="K276" i="6" s="1"/>
  <c r="M112" i="6"/>
  <c r="N112" i="6" s="1"/>
  <c r="J266" i="6"/>
  <c r="K266" i="6" s="1"/>
  <c r="K269" i="6" s="1"/>
  <c r="K415" i="6"/>
  <c r="J258" i="6"/>
  <c r="K258" i="6" s="1"/>
  <c r="K259" i="6" s="1"/>
  <c r="B251" i="6" s="1"/>
  <c r="J184" i="6"/>
  <c r="K184" i="6" s="1"/>
  <c r="H54" i="13"/>
  <c r="F76" i="6" s="1"/>
  <c r="M76" i="6" s="1"/>
  <c r="N76" i="6" s="1"/>
  <c r="H76" i="13"/>
  <c r="F129" i="6" s="1"/>
  <c r="H42" i="13"/>
  <c r="F56" i="6" s="1"/>
  <c r="M56" i="6" s="1"/>
  <c r="N56" i="6" s="1"/>
  <c r="H266" i="6"/>
  <c r="H269" i="6" s="1"/>
  <c r="H327" i="6"/>
  <c r="B322" i="6" s="1"/>
  <c r="E21" i="16" s="1"/>
  <c r="H35" i="13"/>
  <c r="F46" i="6" s="1"/>
  <c r="H46" i="6" s="1"/>
  <c r="H83" i="13"/>
  <c r="F139" i="6" s="1"/>
  <c r="M139" i="6" s="1"/>
  <c r="N139" i="6" s="1"/>
  <c r="H258" i="6"/>
  <c r="H259" i="6" s="1"/>
  <c r="B254" i="6" s="1"/>
  <c r="F30" i="16" s="1"/>
  <c r="I30" i="16" s="1"/>
  <c r="BM33" i="8" s="1"/>
  <c r="M202" i="6"/>
  <c r="N202" i="6" s="1"/>
  <c r="H21" i="13"/>
  <c r="F26" i="6" s="1"/>
  <c r="J26" i="6" s="1"/>
  <c r="K26" i="6" s="1"/>
  <c r="H202" i="6"/>
  <c r="N327" i="6"/>
  <c r="B320" i="6" s="1"/>
  <c r="M19" i="6"/>
  <c r="N19" i="6" s="1"/>
  <c r="J186" i="6"/>
  <c r="K186" i="6" s="1"/>
  <c r="H152" i="6"/>
  <c r="H33" i="13"/>
  <c r="F44" i="6" s="1"/>
  <c r="H44" i="6" s="1"/>
  <c r="J152" i="6"/>
  <c r="K152" i="6" s="1"/>
  <c r="H214" i="6"/>
  <c r="H215" i="6" s="1"/>
  <c r="B212" i="6" s="1"/>
  <c r="H47" i="13"/>
  <c r="F65" i="6" s="1"/>
  <c r="H65" i="6" s="1"/>
  <c r="J214" i="6"/>
  <c r="K214" i="6" s="1"/>
  <c r="K215" i="6" s="1"/>
  <c r="B213" i="6" s="1"/>
  <c r="N215" i="6"/>
  <c r="B214" i="6" s="1"/>
  <c r="H220" i="6"/>
  <c r="J220" i="6"/>
  <c r="K220" i="6" s="1"/>
  <c r="M220" i="6"/>
  <c r="N220" i="6" s="1"/>
  <c r="M300" i="6"/>
  <c r="N300" i="6" s="1"/>
  <c r="N303" i="6" s="1"/>
  <c r="B296" i="6" s="1"/>
  <c r="H300" i="6"/>
  <c r="J300" i="6"/>
  <c r="K300" i="6" s="1"/>
  <c r="H18" i="13"/>
  <c r="F20" i="6" s="1"/>
  <c r="J20" i="6" s="1"/>
  <c r="K20" i="6" s="1"/>
  <c r="H274" i="6"/>
  <c r="H186" i="6"/>
  <c r="H184" i="6"/>
  <c r="M274" i="6"/>
  <c r="N274" i="6" s="1"/>
  <c r="H81" i="13"/>
  <c r="F137" i="6" s="1"/>
  <c r="M137" i="6" s="1"/>
  <c r="N137" i="6" s="1"/>
  <c r="H66" i="13"/>
  <c r="F113" i="6" s="1"/>
  <c r="J113" i="6" s="1"/>
  <c r="K113" i="6" s="1"/>
  <c r="M81" i="6"/>
  <c r="N81" i="6" s="1"/>
  <c r="H81" i="6"/>
  <c r="H46" i="13"/>
  <c r="F64" i="6" s="1"/>
  <c r="J64" i="6" s="1"/>
  <c r="K64" i="6" s="1"/>
  <c r="M136" i="6"/>
  <c r="N136" i="6" s="1"/>
  <c r="H23" i="13"/>
  <c r="F28" i="6" s="1"/>
  <c r="M28" i="6" s="1"/>
  <c r="N28" i="6" s="1"/>
  <c r="J136" i="6"/>
  <c r="K136" i="6" s="1"/>
  <c r="M196" i="6"/>
  <c r="N196" i="6" s="1"/>
  <c r="N197" i="6" s="1"/>
  <c r="B196" i="6" s="1"/>
  <c r="J196" i="6"/>
  <c r="K196" i="6" s="1"/>
  <c r="K197" i="6" s="1"/>
  <c r="B195" i="6" s="1"/>
  <c r="H196" i="6"/>
  <c r="H197" i="6" s="1"/>
  <c r="B194" i="6" s="1"/>
  <c r="J178" i="6"/>
  <c r="K178" i="6" s="1"/>
  <c r="K179" i="6" s="1"/>
  <c r="B177" i="6" s="1"/>
  <c r="M178" i="6"/>
  <c r="N178" i="6" s="1"/>
  <c r="N179" i="6" s="1"/>
  <c r="B178" i="6" s="1"/>
  <c r="H178" i="6"/>
  <c r="B176" i="6" s="1"/>
  <c r="H30" i="13"/>
  <c r="F38" i="6" s="1"/>
  <c r="H70" i="13"/>
  <c r="F120" i="6" s="1"/>
  <c r="J120" i="6" s="1"/>
  <c r="K120" i="6" s="1"/>
  <c r="H374" i="6"/>
  <c r="M374" i="6"/>
  <c r="N374" i="6" s="1"/>
  <c r="F95" i="6"/>
  <c r="J374" i="6"/>
  <c r="K374" i="6" s="1"/>
  <c r="H423" i="6"/>
  <c r="B418" i="6" s="1"/>
  <c r="E33" i="16" s="1"/>
  <c r="B387" i="6"/>
  <c r="E29" i="16" s="1"/>
  <c r="H34" i="13"/>
  <c r="F45" i="6" s="1"/>
  <c r="H45" i="6" s="1"/>
  <c r="N187" i="6"/>
  <c r="B180" i="6" s="1"/>
  <c r="N259" i="6"/>
  <c r="B252" i="6" s="1"/>
  <c r="H59" i="13"/>
  <c r="F84" i="6" s="1"/>
  <c r="J84" i="6" s="1"/>
  <c r="K84" i="6" s="1"/>
  <c r="J240" i="6"/>
  <c r="K240" i="6" s="1"/>
  <c r="M240" i="6"/>
  <c r="N240" i="6" s="1"/>
  <c r="H240" i="6"/>
  <c r="M102" i="6"/>
  <c r="N102" i="6" s="1"/>
  <c r="H102" i="6"/>
  <c r="H104" i="6" s="1"/>
  <c r="B98" i="6" s="1"/>
  <c r="D36" i="16" s="1"/>
  <c r="BV33" i="8" s="1"/>
  <c r="BW33" i="8" s="1"/>
  <c r="J102" i="6"/>
  <c r="K102" i="6" s="1"/>
  <c r="H62" i="6"/>
  <c r="M62" i="6"/>
  <c r="N62" i="6" s="1"/>
  <c r="J62" i="6"/>
  <c r="K62" i="6" s="1"/>
  <c r="H22" i="13"/>
  <c r="F27" i="6" s="1"/>
  <c r="J151" i="6"/>
  <c r="K151" i="6" s="1"/>
  <c r="H151" i="6"/>
  <c r="M151" i="6"/>
  <c r="N151" i="6" s="1"/>
  <c r="N154" i="6" s="1"/>
  <c r="B150" i="6" s="1"/>
  <c r="M275" i="6"/>
  <c r="N275" i="6" s="1"/>
  <c r="J275" i="6"/>
  <c r="K275" i="6" s="1"/>
  <c r="H275" i="6"/>
  <c r="H82" i="13"/>
  <c r="F138" i="6" s="1"/>
  <c r="J239" i="6"/>
  <c r="K239" i="6" s="1"/>
  <c r="K241" i="6" s="1"/>
  <c r="B233" i="6" s="1"/>
  <c r="H239" i="6"/>
  <c r="H241" i="6" s="1"/>
  <c r="B236" i="6" s="1"/>
  <c r="F27" i="16" s="1"/>
  <c r="I27" i="16" s="1"/>
  <c r="AL33" i="8" s="1"/>
  <c r="M239" i="6"/>
  <c r="N239" i="6" s="1"/>
  <c r="N241" i="6" s="1"/>
  <c r="B234" i="6" s="1"/>
  <c r="H203" i="6"/>
  <c r="J203" i="6"/>
  <c r="K203" i="6" s="1"/>
  <c r="K205" i="6" s="1"/>
  <c r="B197" i="6" s="1"/>
  <c r="M203" i="6"/>
  <c r="N203" i="6" s="1"/>
  <c r="H58" i="13"/>
  <c r="F83" i="6" s="1"/>
  <c r="H33" i="8"/>
  <c r="J18" i="6" l="1"/>
  <c r="K18" i="6" s="1"/>
  <c r="K21" i="6" s="1"/>
  <c r="B19" i="6" s="1"/>
  <c r="K104" i="6"/>
  <c r="B95" i="6" s="1"/>
  <c r="M54" i="6"/>
  <c r="N54" i="6" s="1"/>
  <c r="N59" i="6" s="1"/>
  <c r="B56" i="6" s="1"/>
  <c r="H54" i="6"/>
  <c r="H180" i="6"/>
  <c r="J74" i="6"/>
  <c r="K74" i="6" s="1"/>
  <c r="M74" i="6"/>
  <c r="N74" i="6" s="1"/>
  <c r="N77" i="6" s="1"/>
  <c r="B76" i="6" s="1"/>
  <c r="N104" i="6"/>
  <c r="B96" i="6" s="1"/>
  <c r="B91" i="6" s="1"/>
  <c r="D35" i="16" s="1"/>
  <c r="BV24" i="8" s="1"/>
  <c r="BW24" i="8" s="1"/>
  <c r="BX24" i="8" s="1"/>
  <c r="O24" i="8" s="1"/>
  <c r="J111" i="6"/>
  <c r="K111" i="6" s="1"/>
  <c r="K114" i="6" s="1"/>
  <c r="B112" i="6" s="1"/>
  <c r="N223" i="6"/>
  <c r="B216" i="6" s="1"/>
  <c r="H82" i="6"/>
  <c r="M111" i="6"/>
  <c r="N111" i="6" s="1"/>
  <c r="B339" i="6"/>
  <c r="E23" i="16" s="1"/>
  <c r="B411" i="6"/>
  <c r="E32" i="16" s="1"/>
  <c r="K223" i="6"/>
  <c r="B215" i="6" s="1"/>
  <c r="B315" i="6"/>
  <c r="E20" i="16" s="1"/>
  <c r="M131" i="6"/>
  <c r="N131" i="6" s="1"/>
  <c r="H154" i="6"/>
  <c r="B151" i="6" s="1"/>
  <c r="D42" i="16" s="1"/>
  <c r="CI33" i="8" s="1"/>
  <c r="J121" i="6"/>
  <c r="K121" i="6" s="1"/>
  <c r="H121" i="6"/>
  <c r="H223" i="6"/>
  <c r="B219" i="6" s="1"/>
  <c r="F24" i="16" s="1"/>
  <c r="I24" i="16" s="1"/>
  <c r="AC33" i="8" s="1"/>
  <c r="J131" i="6"/>
  <c r="K131" i="6" s="1"/>
  <c r="H303" i="6"/>
  <c r="B298" i="6" s="1"/>
  <c r="E18" i="16" s="1"/>
  <c r="K303" i="6"/>
  <c r="B295" i="6" s="1"/>
  <c r="B291" i="6" s="1"/>
  <c r="E17" i="16" s="1"/>
  <c r="M82" i="6"/>
  <c r="N82" i="6" s="1"/>
  <c r="K187" i="6"/>
  <c r="B179" i="6" s="1"/>
  <c r="B175" i="6" s="1"/>
  <c r="F17" i="16" s="1"/>
  <c r="J63" i="6"/>
  <c r="K63" i="6" s="1"/>
  <c r="M63" i="6"/>
  <c r="N63" i="6" s="1"/>
  <c r="H76" i="6"/>
  <c r="H77" i="6" s="1"/>
  <c r="B74" i="6" s="1"/>
  <c r="M44" i="6"/>
  <c r="N44" i="6" s="1"/>
  <c r="J76" i="6"/>
  <c r="K76" i="6" s="1"/>
  <c r="H56" i="6"/>
  <c r="H20" i="6"/>
  <c r="H22" i="6" s="1"/>
  <c r="B18" i="6" s="1"/>
  <c r="M20" i="6"/>
  <c r="N20" i="6" s="1"/>
  <c r="N21" i="6" s="1"/>
  <c r="B20" i="6" s="1"/>
  <c r="H277" i="6"/>
  <c r="B272" i="6" s="1"/>
  <c r="F33" i="16" s="1"/>
  <c r="I33" i="16" s="1"/>
  <c r="AU33" i="8" s="1"/>
  <c r="M119" i="6"/>
  <c r="N119" i="6" s="1"/>
  <c r="N205" i="6"/>
  <c r="B198" i="6" s="1"/>
  <c r="B193" i="6" s="1"/>
  <c r="F20" i="16" s="1"/>
  <c r="J56" i="6"/>
  <c r="K56" i="6" s="1"/>
  <c r="K59" i="6" s="1"/>
  <c r="B55" i="6" s="1"/>
  <c r="J119" i="6"/>
  <c r="K119" i="6" s="1"/>
  <c r="J46" i="6"/>
  <c r="K46" i="6" s="1"/>
  <c r="K277" i="6"/>
  <c r="B269" i="6" s="1"/>
  <c r="K154" i="6"/>
  <c r="B149" i="6" s="1"/>
  <c r="B148" i="6" s="1"/>
  <c r="D41" i="16" s="1"/>
  <c r="CI24" i="8" s="1"/>
  <c r="CJ24" i="8" s="1"/>
  <c r="P24" i="8" s="1"/>
  <c r="M46" i="6"/>
  <c r="N46" i="6" s="1"/>
  <c r="M65" i="6"/>
  <c r="N65" i="6" s="1"/>
  <c r="H139" i="6"/>
  <c r="J139" i="6"/>
  <c r="K139" i="6" s="1"/>
  <c r="J65" i="6"/>
  <c r="K65" i="6" s="1"/>
  <c r="M26" i="6"/>
  <c r="N26" i="6" s="1"/>
  <c r="J44" i="6"/>
  <c r="K44" i="6" s="1"/>
  <c r="M129" i="6"/>
  <c r="N129" i="6" s="1"/>
  <c r="H129" i="6"/>
  <c r="H133" i="6" s="1"/>
  <c r="B129" i="6" s="1"/>
  <c r="J129" i="6"/>
  <c r="K129" i="6" s="1"/>
  <c r="H205" i="6"/>
  <c r="B200" i="6" s="1"/>
  <c r="F21" i="16" s="1"/>
  <c r="I21" i="16" s="1"/>
  <c r="H26" i="6"/>
  <c r="H187" i="6"/>
  <c r="B182" i="6" s="1"/>
  <c r="F18" i="16" s="1"/>
  <c r="M45" i="6"/>
  <c r="N45" i="6" s="1"/>
  <c r="H64" i="6"/>
  <c r="H67" i="6" s="1"/>
  <c r="B61" i="6" s="1"/>
  <c r="D24" i="16" s="1"/>
  <c r="AB33" i="8" s="1"/>
  <c r="M64" i="6"/>
  <c r="N64" i="6" s="1"/>
  <c r="N277" i="6"/>
  <c r="B270" i="6" s="1"/>
  <c r="J45" i="6"/>
  <c r="K45" i="6" s="1"/>
  <c r="M120" i="6"/>
  <c r="N120" i="6" s="1"/>
  <c r="H113" i="6"/>
  <c r="H114" i="6" s="1"/>
  <c r="B111" i="6" s="1"/>
  <c r="M113" i="6"/>
  <c r="N113" i="6" s="1"/>
  <c r="J137" i="6"/>
  <c r="K137" i="6" s="1"/>
  <c r="H137" i="6"/>
  <c r="H120" i="6"/>
  <c r="H84" i="6"/>
  <c r="B247" i="6"/>
  <c r="F29" i="16" s="1"/>
  <c r="I29" i="16" s="1"/>
  <c r="BM24" i="8" s="1"/>
  <c r="BN24" i="8" s="1"/>
  <c r="J28" i="6"/>
  <c r="K28" i="6" s="1"/>
  <c r="H28" i="6"/>
  <c r="H38" i="6"/>
  <c r="H40" i="6" s="1"/>
  <c r="B36" i="6" s="1"/>
  <c r="J38" i="6"/>
  <c r="K38" i="6" s="1"/>
  <c r="K39" i="6" s="1"/>
  <c r="B37" i="6" s="1"/>
  <c r="M38" i="6"/>
  <c r="N38" i="6" s="1"/>
  <c r="N39" i="6" s="1"/>
  <c r="B38" i="6" s="1"/>
  <c r="M84" i="6"/>
  <c r="N84" i="6" s="1"/>
  <c r="B229" i="6"/>
  <c r="F26" i="16" s="1"/>
  <c r="I26" i="16" s="1"/>
  <c r="AL24" i="8" s="1"/>
  <c r="AM24" i="8" s="1"/>
  <c r="H27" i="6"/>
  <c r="M27" i="6"/>
  <c r="N27" i="6" s="1"/>
  <c r="J27" i="6"/>
  <c r="K27" i="6" s="1"/>
  <c r="J138" i="6"/>
  <c r="K138" i="6" s="1"/>
  <c r="H138" i="6"/>
  <c r="M138" i="6"/>
  <c r="N138" i="6" s="1"/>
  <c r="N142" i="6" s="1"/>
  <c r="B133" i="6" s="1"/>
  <c r="H83" i="6"/>
  <c r="J83" i="6"/>
  <c r="K83" i="6" s="1"/>
  <c r="K85" i="6" s="1"/>
  <c r="B77" i="6" s="1"/>
  <c r="M83" i="6"/>
  <c r="N83" i="6" s="1"/>
  <c r="H47" i="6"/>
  <c r="B42" i="6" s="1"/>
  <c r="D18" i="16" s="1"/>
  <c r="BC33" i="8" s="1"/>
  <c r="CD24" i="8"/>
  <c r="CH24" i="8"/>
  <c r="BK24" i="8"/>
  <c r="BU24" i="8"/>
  <c r="AJ24" i="8"/>
  <c r="AA24" i="8"/>
  <c r="AS24" i="8"/>
  <c r="BB24" i="8"/>
  <c r="I33" i="8"/>
  <c r="J33" i="8" s="1"/>
  <c r="H59" i="6" l="1"/>
  <c r="B54" i="6" s="1"/>
  <c r="I17" i="16"/>
  <c r="BD24" i="8" s="1"/>
  <c r="BE24" i="8" s="1"/>
  <c r="K24" i="8"/>
  <c r="K77" i="6"/>
  <c r="B75" i="6" s="1"/>
  <c r="Q24" i="8"/>
  <c r="N114" i="6"/>
  <c r="B113" i="6" s="1"/>
  <c r="B211" i="6"/>
  <c r="F23" i="16" s="1"/>
  <c r="I23" i="16" s="1"/>
  <c r="AC24" i="8" s="1"/>
  <c r="AD24" i="8" s="1"/>
  <c r="H85" i="6"/>
  <c r="B80" i="6" s="1"/>
  <c r="D27" i="16" s="1"/>
  <c r="AK33" i="8" s="1"/>
  <c r="N85" i="6"/>
  <c r="B78" i="6" s="1"/>
  <c r="N133" i="6"/>
  <c r="B131" i="6" s="1"/>
  <c r="I20" i="16"/>
  <c r="H122" i="6"/>
  <c r="B117" i="6" s="1"/>
  <c r="D30" i="16" s="1"/>
  <c r="BL33" i="8" s="1"/>
  <c r="K122" i="6"/>
  <c r="B114" i="6" s="1"/>
  <c r="I18" i="16"/>
  <c r="BD33" i="8" s="1"/>
  <c r="BE33" i="8" s="1"/>
  <c r="B265" i="6"/>
  <c r="F32" i="16" s="1"/>
  <c r="I32" i="16" s="1"/>
  <c r="AU24" i="8" s="1"/>
  <c r="AV24" i="8" s="1"/>
  <c r="K133" i="6"/>
  <c r="B130" i="6" s="1"/>
  <c r="K67" i="6"/>
  <c r="B57" i="6" s="1"/>
  <c r="L24" i="8"/>
  <c r="N29" i="6"/>
  <c r="B22" i="6" s="1"/>
  <c r="N47" i="6"/>
  <c r="B40" i="6" s="1"/>
  <c r="N122" i="6"/>
  <c r="B115" i="6" s="1"/>
  <c r="K142" i="6"/>
  <c r="B132" i="6" s="1"/>
  <c r="N67" i="6"/>
  <c r="B58" i="6" s="1"/>
  <c r="K47" i="6"/>
  <c r="B39" i="6" s="1"/>
  <c r="H29" i="6"/>
  <c r="B24" i="6" s="1"/>
  <c r="D21" i="16" s="1"/>
  <c r="G33" i="8" s="1"/>
  <c r="K29" i="6"/>
  <c r="B21" i="6" s="1"/>
  <c r="H142" i="6"/>
  <c r="B135" i="6" s="1"/>
  <c r="D33" i="16" s="1"/>
  <c r="AT33" i="8" s="1"/>
  <c r="CJ33" i="8"/>
  <c r="P33" i="8" s="1"/>
  <c r="CD33" i="8"/>
  <c r="CB33" i="8"/>
  <c r="BU33" i="8"/>
  <c r="BK33" i="8"/>
  <c r="BX33" i="8"/>
  <c r="O33" i="8" s="1"/>
  <c r="CH33" i="8"/>
  <c r="AA33" i="8"/>
  <c r="AS33" i="8"/>
  <c r="BN33" i="8"/>
  <c r="BB33" i="8"/>
  <c r="AJ33" i="8"/>
  <c r="AD33" i="8"/>
  <c r="AV33" i="8"/>
  <c r="AM33" i="8"/>
  <c r="M24" i="8" l="1"/>
  <c r="B73" i="6"/>
  <c r="D26" i="16" s="1"/>
  <c r="AK24" i="8" s="1"/>
  <c r="B110" i="6"/>
  <c r="D29" i="16" s="1"/>
  <c r="BL24" i="8" s="1"/>
  <c r="B128" i="6"/>
  <c r="D32" i="16" s="1"/>
  <c r="AT24" i="8" s="1"/>
  <c r="B17" i="6"/>
  <c r="D20" i="16" s="1"/>
  <c r="G24" i="8" s="1"/>
  <c r="N24" i="8"/>
  <c r="R24" i="8" s="1"/>
  <c r="B35" i="6"/>
  <c r="D17" i="16" s="1"/>
  <c r="BC24" i="8" s="1"/>
  <c r="B53" i="6"/>
  <c r="D23" i="16" s="1"/>
  <c r="AB24" i="8" s="1"/>
  <c r="K33" i="8"/>
  <c r="CS33" i="8"/>
  <c r="Q33" i="8"/>
  <c r="N33" i="8"/>
  <c r="L33" i="8"/>
  <c r="R33" i="8" l="1"/>
  <c r="S33" i="8" s="1"/>
  <c r="P17" i="8" s="1"/>
  <c r="CT33" i="8"/>
  <c r="Q17" i="8"/>
  <c r="CS24" i="8"/>
  <c r="CT24" i="8" s="1"/>
  <c r="G16" i="8" s="1"/>
  <c r="M33" i="8"/>
  <c r="S24" i="8"/>
  <c r="T24" i="8" s="1"/>
  <c r="F16" i="8" l="1"/>
  <c r="P16" i="8"/>
  <c r="Q16" i="8"/>
  <c r="CU33" i="8"/>
  <c r="G17" i="8"/>
  <c r="T33" i="8"/>
  <c r="F17" i="8" s="1"/>
  <c r="CU24"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srichardson</author>
  </authors>
  <commentList>
    <comment ref="D60" authorId="0" shapeId="0" xr:uid="{00000000-0006-0000-0100-000001000000}">
      <text>
        <r>
          <rPr>
            <sz val="10"/>
            <rFont val="Arial"/>
            <family val="2"/>
          </rPr>
          <t>srichardson: includes NYPA</t>
        </r>
      </text>
    </comment>
    <comment ref="C79" authorId="0" shapeId="0" xr:uid="{00000000-0006-0000-0100-000002000000}">
      <text>
        <r>
          <rPr>
            <sz val="10"/>
            <rFont val="Arial"/>
            <family val="2"/>
          </rPr>
          <t>srichardson:</t>
        </r>
        <r>
          <rPr>
            <sz val="10"/>
            <rFont val="Arial"/>
            <family val="2"/>
          </rPr>
          <t xml:space="preserve">
</t>
        </r>
        <r>
          <rPr>
            <sz val="10"/>
            <rFont val="Arial"/>
            <family val="2"/>
          </rPr>
          <t>923 Net Generation from Electric Utilities, NAICS Cogen and NAICS non-coogen (MWh) instead of ISO-NE value</t>
        </r>
      </text>
    </comment>
    <comment ref="D86" authorId="0" shapeId="0" xr:uid="{00000000-0006-0000-0100-000003000000}">
      <text>
        <r>
          <rPr>
            <sz val="10"/>
            <rFont val="Arial"/>
            <family val="2"/>
          </rPr>
          <t>srichardson: includes NYPA</t>
        </r>
        <r>
          <rPr>
            <sz val="10"/>
            <rFont val="Arial"/>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Richardson, Sue Ann (DEP)</author>
    <author>srichardson</author>
  </authors>
  <commentList>
    <comment ref="B7" authorId="0" shapeId="0" xr:uid="{3D888BFA-3FA3-4575-B0E6-D29D9A1E1379}">
      <text>
        <r>
          <rPr>
            <sz val="9"/>
            <color indexed="81"/>
            <rFont val="Tahoma"/>
            <family val="2"/>
          </rPr>
          <t xml:space="preserve">Uses EIA-923 generation value for VT (below).
</t>
        </r>
      </text>
    </comment>
    <comment ref="E7" authorId="1" shapeId="0" xr:uid="{00000000-0006-0000-0200-000001000000}">
      <text>
        <r>
          <rPr>
            <sz val="10"/>
            <color indexed="8"/>
            <rFont val="Arial"/>
            <family val="2"/>
          </rPr>
          <t xml:space="preserve">srichardson:
</t>
        </r>
        <r>
          <rPr>
            <sz val="10"/>
            <color indexed="8"/>
            <rFont val="Arial"/>
            <family val="2"/>
          </rPr>
          <t>Not used. Using 923 MWh (below) instead.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srichardson</author>
    <author>Sharon Weber</author>
    <author>Richardson, Sue Ann (DEP)</author>
  </authors>
  <commentList>
    <comment ref="F205" authorId="0" shapeId="0" xr:uid="{00000000-0006-0000-0300-000001000000}">
      <text>
        <r>
          <rPr>
            <sz val="10"/>
            <rFont val="Arial"/>
            <family val="2"/>
          </rPr>
          <t>srichardson:</t>
        </r>
        <r>
          <rPr>
            <sz val="10"/>
            <rFont val="Arial"/>
            <family val="2"/>
          </rPr>
          <t xml:space="preserve">
</t>
        </r>
        <r>
          <rPr>
            <sz val="10"/>
            <rFont val="Arial"/>
            <family val="2"/>
          </rPr>
          <t>Added GIS certificate MMBTUs from COVENTRY(s) and unaccounted for MORETOWN</t>
        </r>
      </text>
    </comment>
    <comment ref="F208" authorId="0" shapeId="0" xr:uid="{00000000-0006-0000-0300-000002000000}">
      <text>
        <r>
          <rPr>
            <sz val="10"/>
            <rFont val="Arial"/>
            <family val="2"/>
          </rPr>
          <t>srichardson:</t>
        </r>
        <r>
          <rPr>
            <sz val="10"/>
            <rFont val="Arial"/>
            <family val="2"/>
          </rPr>
          <t xml:space="preserve">
</t>
        </r>
        <r>
          <rPr>
            <sz val="10"/>
            <rFont val="Arial"/>
            <family val="2"/>
          </rPr>
          <t>Added GIS certificate MMBTUs from Cerosimo and unaccounted for MCNEIL</t>
        </r>
      </text>
    </comment>
    <comment ref="G218" authorId="1" shapeId="0" xr:uid="{00000000-0006-0000-0300-000003000000}">
      <text>
        <r>
          <rPr>
            <sz val="10"/>
            <rFont val="Arial"/>
            <family val="2"/>
          </rPr>
          <t xml:space="preserve">These MWh are already included in the Environment Canada GWh. They are shown here for purposes of calculating Biogenic CO2.
</t>
        </r>
        <r>
          <rPr>
            <sz val="10"/>
            <rFont val="Arial"/>
            <family val="2"/>
          </rPr>
          <t xml:space="preserve">
</t>
        </r>
      </text>
    </comment>
    <comment ref="G221" authorId="0" shapeId="0" xr:uid="{00000000-0006-0000-0300-000004000000}">
      <text>
        <r>
          <rPr>
            <sz val="10"/>
            <rFont val="Arial"/>
            <family val="2"/>
          </rPr>
          <t xml:space="preserve">srichardson:2021
last updated 4/24/23
CANSIM Table 25-10-0019-01 (formerly Table 127-0006)
https://www150.statcan.gc.ca/t1/tbl1/en/tv.action?pid=2510001901
</t>
        </r>
      </text>
    </comment>
    <comment ref="G222" authorId="2" shapeId="0" xr:uid="{00000000-0006-0000-0300-000005000000}">
      <text>
        <r>
          <rPr>
            <b/>
            <sz val="9"/>
            <color indexed="81"/>
            <rFont val="Tahoma"/>
            <family val="2"/>
          </rPr>
          <t>Richardson, Sue Ann (DEP): 2021 same CANSIM table as above (methane)</t>
        </r>
        <r>
          <rPr>
            <sz val="9"/>
            <color indexed="81"/>
            <rFont val="Tahoma"/>
            <family val="2"/>
          </rPr>
          <t xml:space="preserve">
check that GIS certificates do not exceed MWh value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srichardson</author>
  </authors>
  <commentList>
    <comment ref="V296" authorId="0" shapeId="0" xr:uid="{00000000-0006-0000-0800-000001000000}">
      <text>
        <r>
          <rPr>
            <sz val="10"/>
            <color indexed="8"/>
            <rFont val="Arial"/>
            <family val="2"/>
          </rPr>
          <t xml:space="preserve">srichardson:
</t>
        </r>
        <r>
          <rPr>
            <sz val="10"/>
            <color indexed="8"/>
            <rFont val="Arial"/>
            <family val="2"/>
          </rPr>
          <t>includes NYPA from MMWEC Contract, as submitted through AQ31 reports for 2018 [Cell Q35]</t>
        </r>
      </text>
    </comment>
    <comment ref="AK297" authorId="0" shapeId="0" xr:uid="{00000000-0006-0000-0800-000002000000}">
      <text>
        <r>
          <rPr>
            <sz val="10"/>
            <color indexed="8"/>
            <rFont val="Arial"/>
            <family val="2"/>
          </rPr>
          <t xml:space="preserve">srichardson:
</t>
        </r>
        <r>
          <rPr>
            <sz val="10"/>
            <color indexed="8"/>
            <rFont val="Arial"/>
            <family val="2"/>
          </rPr>
          <t>includes NYPA from MMWEC Contract, as submitted through AQ31 reports for 2018 [Cell Q35]</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Sharon Weber</author>
  </authors>
  <commentList>
    <comment ref="J3" authorId="0" shapeId="0" xr:uid="{00000000-0006-0000-0900-000001000000}">
      <text>
        <r>
          <rPr>
            <sz val="10"/>
            <rFont val="Arial"/>
            <family val="2"/>
          </rPr>
          <t>Sharon Weber:</t>
        </r>
        <r>
          <rPr>
            <sz val="10"/>
            <rFont val="Arial"/>
            <family val="2"/>
          </rPr>
          <t xml:space="preserve">
</t>
        </r>
        <r>
          <rPr>
            <sz val="10"/>
            <rFont val="Arial"/>
            <family val="2"/>
          </rPr>
          <t xml:space="preserve">http://epa.gov/climatechange/emissions/downloads10/US-GHG-Inventory-2010-Annex-2-CO2-Fossil-Fuel-Combustion.pdf
</t>
        </r>
        <r>
          <rPr>
            <sz val="10"/>
            <rFont val="Arial"/>
            <family val="2"/>
          </rPr>
          <t xml:space="preserve">"consumption data in the U.S. inventory are presented using higher heating values (HHV)1 rather than the
</t>
        </r>
        <r>
          <rPr>
            <sz val="10"/>
            <rFont val="Arial"/>
            <family val="2"/>
          </rPr>
          <t xml:space="preserve">lower heating values (LHV)2 reflected in the IPCC emission inventory methodology. This convention is followed because
</t>
        </r>
        <r>
          <rPr>
            <sz val="10"/>
            <rFont val="Arial"/>
            <family val="2"/>
          </rPr>
          <t xml:space="preserve">data obtained from EIA are based on HHV. Of note, however, is that EIA renewable energy statistics are often published
</t>
        </r>
        <r>
          <rPr>
            <sz val="10"/>
            <rFont val="Arial"/>
            <family val="2"/>
          </rPr>
          <t xml:space="preserve">using LHV. The difference between the two conventions relates to the treatment of the heat energy that is consumed in the
</t>
        </r>
        <r>
          <rPr>
            <sz val="10"/>
            <rFont val="Arial"/>
            <family val="2"/>
          </rPr>
          <t xml:space="preserve">process of evaporating the water contained in the fuel. The simplified convention used by the International Energy
</t>
        </r>
        <r>
          <rPr>
            <sz val="10"/>
            <rFont val="Arial"/>
            <family val="2"/>
          </rPr>
          <t xml:space="preserve">Agency for converting from HHV to LHV is to multiply the energy content by 0.95 for petroleum and coal and by 0.9 for
</t>
        </r>
        <r>
          <rPr>
            <sz val="10"/>
            <rFont val="Arial"/>
            <family val="2"/>
          </rPr>
          <t>natural gas."</t>
        </r>
      </text>
    </comment>
  </commentList>
</comments>
</file>

<file path=xl/sharedStrings.xml><?xml version="1.0" encoding="utf-8"?>
<sst xmlns="http://schemas.openxmlformats.org/spreadsheetml/2006/main" count="35010" uniqueCount="3738">
  <si>
    <t>SEMASS Resource Recovery</t>
  </si>
  <si>
    <t>SEMASS Partnership</t>
  </si>
  <si>
    <t>Bethpage Power Plant</t>
  </si>
  <si>
    <t>Calpine Eastern Corp</t>
  </si>
  <si>
    <t>William F Wyman</t>
  </si>
  <si>
    <t>FPL Energy Wyman LLC</t>
  </si>
  <si>
    <t>Wyman Hydro</t>
  </si>
  <si>
    <t>Mystic Generating Station</t>
  </si>
  <si>
    <t>Kendall Square Station</t>
  </si>
  <si>
    <t>Canal</t>
  </si>
  <si>
    <t>Cabot</t>
  </si>
  <si>
    <t>CO2 (tons)</t>
  </si>
  <si>
    <t>Potter Station 2</t>
  </si>
  <si>
    <t>Waters River</t>
  </si>
  <si>
    <t>Cleary Flood</t>
  </si>
  <si>
    <t>City of Taunton</t>
  </si>
  <si>
    <t>MSB</t>
  </si>
  <si>
    <t>MSN</t>
  </si>
  <si>
    <t>Rensselaer Cogen</t>
  </si>
  <si>
    <t>Lockport Energy Associates LP</t>
  </si>
  <si>
    <t>Great Lakes Hydro America - ME</t>
  </si>
  <si>
    <t>Great Lakes Hydro America LLC</t>
  </si>
  <si>
    <t>Ocean State Power II</t>
  </si>
  <si>
    <t>Sithe Independence Station</t>
  </si>
  <si>
    <t>Sithe/Independence LLC</t>
  </si>
  <si>
    <t>Saranac Facility</t>
  </si>
  <si>
    <t>Saranac Power Partners LP</t>
  </si>
  <si>
    <t>Curtis Palmer Hydroelectric</t>
  </si>
  <si>
    <t>Vernon Boulevard</t>
  </si>
  <si>
    <t>Brentwood</t>
  </si>
  <si>
    <t>Hell Gate</t>
  </si>
  <si>
    <t>Harlem River Yard</t>
  </si>
  <si>
    <t>North 1st</t>
  </si>
  <si>
    <t>N</t>
  </si>
  <si>
    <t>Electric Utility</t>
  </si>
  <si>
    <t>HY</t>
  </si>
  <si>
    <t>WAT</t>
  </si>
  <si>
    <t>HYC</t>
  </si>
  <si>
    <t>CA</t>
  </si>
  <si>
    <t>NG</t>
  </si>
  <si>
    <t>Mcf</t>
  </si>
  <si>
    <t>CT</t>
  </si>
  <si>
    <t>ST</t>
  </si>
  <si>
    <t>BIT</t>
  </si>
  <si>
    <t>COL</t>
  </si>
  <si>
    <t>short tons</t>
  </si>
  <si>
    <t>DFO</t>
  </si>
  <si>
    <t>barrels</t>
  </si>
  <si>
    <t>SUB</t>
  </si>
  <si>
    <t>ORW</t>
  </si>
  <si>
    <t>GT</t>
  </si>
  <si>
    <t>IC</t>
  </si>
  <si>
    <t>NAICS-22 Non-Cogen</t>
  </si>
  <si>
    <t>NUC</t>
  </si>
  <si>
    <t>Y</t>
  </si>
  <si>
    <t>NAICS-22 Cogen</t>
  </si>
  <si>
    <t>New York Power Authority</t>
  </si>
  <si>
    <t>NY</t>
  </si>
  <si>
    <t>NPCC</t>
  </si>
  <si>
    <t>PS</t>
  </si>
  <si>
    <t>HPS</t>
  </si>
  <si>
    <t>RFO</t>
  </si>
  <si>
    <t>CS</t>
  </si>
  <si>
    <t>LFG</t>
  </si>
  <si>
    <t>MLG</t>
  </si>
  <si>
    <t>PC</t>
  </si>
  <si>
    <t>JF</t>
  </si>
  <si>
    <t>WOO</t>
  </si>
  <si>
    <t>OBG</t>
  </si>
  <si>
    <t>WDS</t>
  </si>
  <si>
    <t>WWW</t>
  </si>
  <si>
    <t>WT</t>
  </si>
  <si>
    <t>WND</t>
  </si>
  <si>
    <t>WO</t>
  </si>
  <si>
    <t>FirstLight Power Resources Services LLC</t>
  </si>
  <si>
    <t>Emissions and Generation</t>
  </si>
  <si>
    <t>KER</t>
  </si>
  <si>
    <t>Devon Station</t>
  </si>
  <si>
    <t>Montville Station</t>
  </si>
  <si>
    <t>NRG Montville Operations Inc</t>
  </si>
  <si>
    <t>Northfield Mountain</t>
  </si>
  <si>
    <t>MA</t>
  </si>
  <si>
    <t>OTH</t>
  </si>
  <si>
    <t>Middletown</t>
  </si>
  <si>
    <t>Middletown Power LLC</t>
  </si>
  <si>
    <t>Millstone</t>
  </si>
  <si>
    <t>Bridgeport Station</t>
  </si>
  <si>
    <t>PSEG Power Connecticut LLC</t>
  </si>
  <si>
    <t>J C McNeil</t>
  </si>
  <si>
    <t>VT</t>
  </si>
  <si>
    <t>ME</t>
  </si>
  <si>
    <t>Rumford Cogeneration</t>
  </si>
  <si>
    <t>Wheelabrator Environmental Systems</t>
  </si>
  <si>
    <t>Athens Generating Plant</t>
  </si>
  <si>
    <t>New Athens Generating Company LLC</t>
  </si>
  <si>
    <t>Comerford</t>
  </si>
  <si>
    <t>NH</t>
  </si>
  <si>
    <t>S C Moore</t>
  </si>
  <si>
    <t>Amoskeag</t>
  </si>
  <si>
    <t>Ayers Island</t>
  </si>
  <si>
    <t>Garvins Falls</t>
  </si>
  <si>
    <t>Merrimack</t>
  </si>
  <si>
    <t>Schiller</t>
  </si>
  <si>
    <t>Danskammer Generating Station</t>
  </si>
  <si>
    <t>Arthur Kill Generating Station</t>
  </si>
  <si>
    <t>NRG Arthur Kill Operations Inc</t>
  </si>
  <si>
    <t>East River</t>
  </si>
  <si>
    <t>Consolidated Edison Co-NY Inc</t>
  </si>
  <si>
    <t>Gowanus Gas Turbines Generating</t>
  </si>
  <si>
    <t>U S Power Generating Company LLC</t>
  </si>
  <si>
    <t>Narrows Gas Turbines Generating</t>
  </si>
  <si>
    <t>Ravenswood</t>
  </si>
  <si>
    <t>74th Street</t>
  </si>
  <si>
    <t>E F Barrett</t>
  </si>
  <si>
    <t>Glenwood</t>
  </si>
  <si>
    <t>Northport</t>
  </si>
  <si>
    <t>Port Jefferson</t>
  </si>
  <si>
    <t>Bethlehem Energy Center</t>
  </si>
  <si>
    <t>PSEG Power New York Inc</t>
  </si>
  <si>
    <t>Erie Boulevard Hydropower LP</t>
  </si>
  <si>
    <t>Nine Mile Point Nuclear Station</t>
  </si>
  <si>
    <t>Oswego Harbor Power</t>
  </si>
  <si>
    <t>Spier Falls</t>
  </si>
  <si>
    <t>Bowline Point</t>
  </si>
  <si>
    <t>Environment Canada GHG emissions (kilo metric tons CO2e)</t>
  </si>
  <si>
    <t>S A Carlson</t>
  </si>
  <si>
    <t>Blenheim Gilboa</t>
  </si>
  <si>
    <t>Lewiston Niagara</t>
  </si>
  <si>
    <t>Robert Moses Niagara</t>
  </si>
  <si>
    <t>Robert Moses Power Dam</t>
  </si>
  <si>
    <t>Manchester Street</t>
  </si>
  <si>
    <t>RI</t>
  </si>
  <si>
    <t>Green Mountain Power Corp</t>
  </si>
  <si>
    <t>Essex Junction 19</t>
  </si>
  <si>
    <t>Ocean State Power</t>
  </si>
  <si>
    <t>Ocean State Power Co</t>
  </si>
  <si>
    <t>Maple Ridge Wind Farm</t>
  </si>
  <si>
    <t>Flat Rock Windpower, LLC</t>
  </si>
  <si>
    <t>Mars Hill Wind Farm Project</t>
  </si>
  <si>
    <t>Munnsville Wind Farm LLC</t>
  </si>
  <si>
    <t>Operator Name</t>
  </si>
  <si>
    <t>Census Region</t>
  </si>
  <si>
    <t>NERC Region</t>
  </si>
  <si>
    <t>NAICS Code</t>
  </si>
  <si>
    <t>EIA Sector Number</t>
  </si>
  <si>
    <t>Sector Name</t>
  </si>
  <si>
    <t>Newington</t>
  </si>
  <si>
    <t>Brookfield Power New England</t>
  </si>
  <si>
    <t>Bear Swamp</t>
  </si>
  <si>
    <t>Holtsville</t>
  </si>
  <si>
    <t>IMT Transfer NY</t>
  </si>
  <si>
    <t>Astoria Generating Station</t>
  </si>
  <si>
    <t>Indian Point 3</t>
  </si>
  <si>
    <t>Entergy Nuclear Indian Point 3</t>
  </si>
  <si>
    <t>BLQ</t>
  </si>
  <si>
    <t>SLW</t>
  </si>
  <si>
    <t>Bellingham Cogeneration Facility</t>
  </si>
  <si>
    <t>Northeast Energy Associates LP</t>
  </si>
  <si>
    <t>Brooklyn Navy Yard Cogeneration</t>
  </si>
  <si>
    <t>Brooklyn Navy Yard Cogen PLP</t>
  </si>
  <si>
    <t>Dighton Power Plant</t>
  </si>
  <si>
    <t>Berkshire Power</t>
  </si>
  <si>
    <t>Berkshire Power Co LLC</t>
  </si>
  <si>
    <t>Bridgeport Energy Project</t>
  </si>
  <si>
    <t>Bridgeport Energy LLC</t>
  </si>
  <si>
    <t>Tiverton Power Plant</t>
  </si>
  <si>
    <t>Maine Independence Station</t>
  </si>
  <si>
    <t>Casco Bay Energy Co LLC</t>
  </si>
  <si>
    <t>Millennium Power</t>
  </si>
  <si>
    <t>Rumford Power</t>
  </si>
  <si>
    <t>Milford Power Project</t>
  </si>
  <si>
    <t>Milford Power Co LLC</t>
  </si>
  <si>
    <t>Lake Road Generating Plant</t>
  </si>
  <si>
    <t>Lake Road Generating Co LP</t>
  </si>
  <si>
    <t>Granite Ridge</t>
  </si>
  <si>
    <t>Granite Ridge Energy LLC</t>
  </si>
  <si>
    <t>ANP Bellingham Energy Project</t>
  </si>
  <si>
    <t>ANP Blackstone Energy Project</t>
  </si>
  <si>
    <t>Astoria Gas Turbines</t>
  </si>
  <si>
    <t>NRG Astoria Gas Turbine Operations Inc</t>
  </si>
  <si>
    <t>Westbrook Energy Center</t>
  </si>
  <si>
    <t>Fore River Generating Station</t>
  </si>
  <si>
    <t>Astoria Energy</t>
  </si>
  <si>
    <t>Astoria Energy LLC</t>
  </si>
  <si>
    <t>500MW CC</t>
  </si>
  <si>
    <t>Energy from Generation (GWh)</t>
  </si>
  <si>
    <t>ISO-NE</t>
  </si>
  <si>
    <t>ISO-NE Net Imorts/Exports of Energy from Other Control Areas (GWh)</t>
  </si>
  <si>
    <t>Actual Imports</t>
  </si>
  <si>
    <t>Net Energy for Load (GWh)</t>
  </si>
  <si>
    <t>Total</t>
  </si>
  <si>
    <t>MA Electricity Consumption Non-Biogenic Emissions based on NE Average GHG Emission Factor (lb)</t>
  </si>
  <si>
    <t>MA Electricity Consumption Biogenic CO2 Emissions based on NE Average GHG Emission Factor (lb)</t>
  </si>
  <si>
    <t>MA Biogenic Emissions from Intra-NE Imports</t>
  </si>
  <si>
    <t>Biogenic CO2 Emissions</t>
  </si>
  <si>
    <t>NB: Maine emissions were adjusted to match the geographic scope of the EIA emissions data to that of ISO generation data.</t>
  </si>
  <si>
    <t>MA-Based Non-Biogenic Emission Rate (lb/MWh)</t>
  </si>
  <si>
    <t>MA-Based Biogenic Emission Rate (lb/MWh)</t>
  </si>
  <si>
    <t>Covanta Energy of Niagara LP</t>
  </si>
  <si>
    <t>Covanta Haverhill</t>
  </si>
  <si>
    <t>Ogden Projects Inc-Haverhill</t>
  </si>
  <si>
    <t>Sterling Power Plant</t>
  </si>
  <si>
    <t>Wheelabrator Saugus</t>
  </si>
  <si>
    <t>Wheelabrator Westchester</t>
  </si>
  <si>
    <t>Wheelabrator Bridgeport</t>
  </si>
  <si>
    <t>Carr Street Generating Station</t>
  </si>
  <si>
    <t>Massachusetts</t>
  </si>
  <si>
    <t>Fuels</t>
  </si>
  <si>
    <t>CO2</t>
  </si>
  <si>
    <t>CH4</t>
  </si>
  <si>
    <t>N2O</t>
  </si>
  <si>
    <t>Fuel Type</t>
  </si>
  <si>
    <t>Fuel Codes from EIA</t>
  </si>
  <si>
    <t>IPCC Emission Factors (CH4 kg/TJ) LHV</t>
  </si>
  <si>
    <t>Non-Biogenic CO2e</t>
  </si>
  <si>
    <t>Non-Biogenic</t>
  </si>
  <si>
    <t>CO2e from CH4 from Non-Biogenic Fuels</t>
  </si>
  <si>
    <t>CO2e from N2O from Non-Biogenic Fuels</t>
  </si>
  <si>
    <t>CO2e from CH4 from Biogenic Fuels</t>
  </si>
  <si>
    <t>CO2e from N2O from Biogenic Fuels</t>
  </si>
  <si>
    <t>Biogenic CO2e</t>
  </si>
  <si>
    <t>Biogenic</t>
  </si>
  <si>
    <t>Maine</t>
  </si>
  <si>
    <t>New Hampshire</t>
  </si>
  <si>
    <t>Vermont</t>
  </si>
  <si>
    <t>Rhode Island</t>
  </si>
  <si>
    <t>Connecticut</t>
  </si>
  <si>
    <t>New York</t>
  </si>
  <si>
    <t>Quebec</t>
  </si>
  <si>
    <t>New Brunswick</t>
  </si>
  <si>
    <t>Alfred L Pierce Generating Station</t>
  </si>
  <si>
    <t>AP-1</t>
  </si>
  <si>
    <t>Combustion turbine</t>
  </si>
  <si>
    <t>Bridgeport Energy</t>
  </si>
  <si>
    <t>BE1</t>
  </si>
  <si>
    <t>Combined cycle</t>
  </si>
  <si>
    <t>BE2</t>
  </si>
  <si>
    <t>Bridgeport Harbor Station</t>
  </si>
  <si>
    <t>Cyclone boiler</t>
  </si>
  <si>
    <t>BHB3</t>
  </si>
  <si>
    <t>Tangentially-fired</t>
  </si>
  <si>
    <t>Capitol District Energy Center</t>
  </si>
  <si>
    <t>Devon</t>
  </si>
  <si>
    <t>Lake Road Generating Company</t>
  </si>
  <si>
    <t>LRG1</t>
  </si>
  <si>
    <t>LRG2</t>
  </si>
  <si>
    <t>LRG3</t>
  </si>
  <si>
    <t>Dry bottom wall-fired boiler</t>
  </si>
  <si>
    <t>Milford Power Company LLC</t>
  </si>
  <si>
    <t>CT01</t>
  </si>
  <si>
    <t>CT02</t>
  </si>
  <si>
    <t>Montville</t>
  </si>
  <si>
    <t>NHB1</t>
  </si>
  <si>
    <t>CT03</t>
  </si>
  <si>
    <t>CT04</t>
  </si>
  <si>
    <t>CT05</t>
  </si>
  <si>
    <t>Bellingham</t>
  </si>
  <si>
    <t>Canal Station</t>
  </si>
  <si>
    <t>Other boiler</t>
  </si>
  <si>
    <t>Dartmouth Power</t>
  </si>
  <si>
    <t>Dighton</t>
  </si>
  <si>
    <t>Mystic</t>
  </si>
  <si>
    <t>West Springfield</t>
  </si>
  <si>
    <t>CTG1</t>
  </si>
  <si>
    <t>CTG2</t>
  </si>
  <si>
    <t>Androscoggin Energy</t>
  </si>
  <si>
    <t>GEN4</t>
  </si>
  <si>
    <t>Granite Ridge Energy</t>
  </si>
  <si>
    <t>Circulating fluidized bed boiler</t>
  </si>
  <si>
    <t>23rd and 3rd</t>
  </si>
  <si>
    <t>Allegany Station No. 133</t>
  </si>
  <si>
    <t>Arthur Kill</t>
  </si>
  <si>
    <t>CT1</t>
  </si>
  <si>
    <t>CT2</t>
  </si>
  <si>
    <t>Athens Generating Company</t>
  </si>
  <si>
    <t>Batavia Energy</t>
  </si>
  <si>
    <t>Bayswater Peaking Facility</t>
  </si>
  <si>
    <t>Bethlehem Energy Center (Albany)</t>
  </si>
  <si>
    <t>Bethpage Energy Center</t>
  </si>
  <si>
    <t>GT1</t>
  </si>
  <si>
    <t>GT2</t>
  </si>
  <si>
    <t>GT3</t>
  </si>
  <si>
    <t>GT4</t>
  </si>
  <si>
    <t>Bowline Generating Station</t>
  </si>
  <si>
    <t>BW01</t>
  </si>
  <si>
    <t>A</t>
  </si>
  <si>
    <t>B</t>
  </si>
  <si>
    <t>Carthage Energy</t>
  </si>
  <si>
    <t>Castleton Power, LLC</t>
  </si>
  <si>
    <t>Freeport Power Plant No. 2</t>
  </si>
  <si>
    <t>Glenwood Landing Energy Center</t>
  </si>
  <si>
    <t>UGT012</t>
  </si>
  <si>
    <t>UGT013</t>
  </si>
  <si>
    <t>HR01</t>
  </si>
  <si>
    <t>HR02</t>
  </si>
  <si>
    <t>Hawkeye Energy Greenport, LLC</t>
  </si>
  <si>
    <t>U-01</t>
  </si>
  <si>
    <t>HG01</t>
  </si>
  <si>
    <t>HG02</t>
  </si>
  <si>
    <t>Indeck-Corinth Energy Center</t>
  </si>
  <si>
    <t>Indeck-Olean Energy Center</t>
  </si>
  <si>
    <t>Indeck-Oswego Energy Center</t>
  </si>
  <si>
    <t>Indeck-Silver Springs Energy Center</t>
  </si>
  <si>
    <t>Indeck-Yerkes Energy Center</t>
  </si>
  <si>
    <t>Independence</t>
  </si>
  <si>
    <t>Massena Energy Facility</t>
  </si>
  <si>
    <t>NO1</t>
  </si>
  <si>
    <t>Pinelawn Power</t>
  </si>
  <si>
    <t>Poletti 500 MW CC</t>
  </si>
  <si>
    <t>CTG7A</t>
  </si>
  <si>
    <t>CTG7B</t>
  </si>
  <si>
    <t>Port Jefferson Energy Center</t>
  </si>
  <si>
    <t>UGT002</t>
  </si>
  <si>
    <t>UGT003</t>
  </si>
  <si>
    <t>Pouch Terminal</t>
  </si>
  <si>
    <t>PT01</t>
  </si>
  <si>
    <t>Ravenswood Generating Station</t>
  </si>
  <si>
    <t>UCC001</t>
  </si>
  <si>
    <t>1GTDBS</t>
  </si>
  <si>
    <t>Richard M Flynn (Holtsville)</t>
  </si>
  <si>
    <t>VB01</t>
  </si>
  <si>
    <t>VB02</t>
  </si>
  <si>
    <t>Pawtucket Power Associates, LP</t>
  </si>
  <si>
    <t>RISEP1</t>
  </si>
  <si>
    <t>RISEP2</t>
  </si>
  <si>
    <t>IPCC Emission Factors
(CO2 kg/TJ) LHV</t>
  </si>
  <si>
    <t>IPCC Emission Factors (CO2 lb/MMBtu) LHV</t>
  </si>
  <si>
    <t>CO2 emissions used instead of calculating from mmBtu</t>
  </si>
  <si>
    <t>IPCC Emission Factors (CO2 lb/MMBtu) HHV</t>
  </si>
  <si>
    <t>EIA Emission Factors (CO2 lb/MMBtu) HHV</t>
  </si>
  <si>
    <t>average of other emission factors (CO2 lb/MMBtu) HHV</t>
  </si>
  <si>
    <t>Calculated CO2 (lb)</t>
  </si>
  <si>
    <t>CH4 (lb)</t>
  </si>
  <si>
    <t>CO2e (lb)</t>
  </si>
  <si>
    <t>N2O (lb)</t>
  </si>
  <si>
    <t>Part 75 CO2 from units that combust biomass and non-biomass fuels is not used, as Part 75 does not report CO2 by fuel.</t>
  </si>
  <si>
    <t>Part 75 CO2 from cogeneration units is not used, as Part 75 does not report CO2 by type of energy produced (i.e., steam and electricity).</t>
  </si>
  <si>
    <t>IPCC Emission Factors (CH4 lb/MMBtu) LHV</t>
  </si>
  <si>
    <t>IPCC Emission Factors (CH4 lb/MMBtu) HHV</t>
  </si>
  <si>
    <t>IPCC Emission Factors (N2O lb/MMBtu) HHV</t>
  </si>
  <si>
    <t>average of other emission factors (CH4 lb/MMBtu) HHV</t>
  </si>
  <si>
    <t>average of other emission factors (N2O lb/MMBtu) HHV</t>
  </si>
  <si>
    <t>MA Electricity Import Emissions</t>
  </si>
  <si>
    <t>ISO Gen % of Total ME Generation</t>
  </si>
  <si>
    <t>Intra-ISO-NE Electricity Imports</t>
  </si>
  <si>
    <t>Extra-ISO-NE Electricity Imports</t>
  </si>
  <si>
    <t>MA electricity consumption emissions based on region-wide generation and imports</t>
  </si>
  <si>
    <t>Non-Biogenic GHG Emissions</t>
  </si>
  <si>
    <t>MA Basic Information</t>
  </si>
  <si>
    <t>MA Import Need</t>
  </si>
  <si>
    <t>MA Share of NE Imports</t>
  </si>
  <si>
    <t>MA Total Import (MWh) - Assigned</t>
  </si>
  <si>
    <t>MA Emissions from Intra-NE Imports</t>
  </si>
  <si>
    <t>MA Emissions from Extra-NE Imports</t>
  </si>
  <si>
    <t>MA Electricity Consumption Emissions</t>
  </si>
  <si>
    <t xml:space="preserve">VT </t>
  </si>
  <si>
    <t>NB</t>
  </si>
  <si>
    <t>New England</t>
  </si>
  <si>
    <t>MA Fraction of Intra-NE imports</t>
  </si>
  <si>
    <t>Imports to MA from other NE States (MWh)</t>
  </si>
  <si>
    <t>Imports to MA from outside NE (MWh)</t>
  </si>
  <si>
    <t>Total Imports to MA (MWh)</t>
  </si>
  <si>
    <t>MA Share of Net Exports (MWh)</t>
  </si>
  <si>
    <t>Generation (MWh)</t>
  </si>
  <si>
    <t>MA Share of NY Net Exports (MWh)</t>
  </si>
  <si>
    <t>NE Hydro Pumping Load (MWh)</t>
  </si>
  <si>
    <t>Actual Imports (MWh)</t>
  </si>
  <si>
    <t xml:space="preserve"> </t>
  </si>
  <si>
    <t>MA Electricity Import Biogenic Emissions</t>
  </si>
  <si>
    <t>MA Electricity Consumption Biogenic Emissions</t>
  </si>
  <si>
    <t>Year</t>
  </si>
  <si>
    <t>Stony Brook</t>
  </si>
  <si>
    <t>Massachusetts Mun Wholes Electric Co</t>
  </si>
  <si>
    <t>James A Fitzpatrick</t>
  </si>
  <si>
    <t>Seabrook</t>
  </si>
  <si>
    <t>New Haven Harbor</t>
  </si>
  <si>
    <t>A L Pierce</t>
  </si>
  <si>
    <t>Connecticut Mun Elec Engy Coop</t>
  </si>
  <si>
    <t>Wading River</t>
  </si>
  <si>
    <t>Searsburg Wind Turbine</t>
  </si>
  <si>
    <t>natural gas</t>
  </si>
  <si>
    <t>distillate petroleum</t>
  </si>
  <si>
    <t>residual petroleum</t>
  </si>
  <si>
    <t>petroleum coke</t>
  </si>
  <si>
    <t>jet fuel</t>
  </si>
  <si>
    <t>kerosene</t>
  </si>
  <si>
    <t>waste oil</t>
  </si>
  <si>
    <t>black liquor</t>
  </si>
  <si>
    <t>landfill gas</t>
  </si>
  <si>
    <t>sludge waste</t>
  </si>
  <si>
    <t>tire derived fuel</t>
  </si>
  <si>
    <t>biogenic component of municipal solid waste</t>
  </si>
  <si>
    <t>bituminous coal</t>
  </si>
  <si>
    <t>sub-bituminous coal</t>
  </si>
  <si>
    <t>non-biogenic component of municipal solid waste</t>
  </si>
  <si>
    <t>other</t>
  </si>
  <si>
    <t>wood/wood waste solids</t>
  </si>
  <si>
    <t>Biogenic fuels</t>
  </si>
  <si>
    <t>Non-biogenic fuels</t>
  </si>
  <si>
    <t>Assumed to have emissions similar to Bituminous Coal.</t>
  </si>
  <si>
    <t>http://www.ipcc-nggip.iges.or.jp/public/2006gl/pdf/2_Volume2/V2_2_Ch2_Stationary_Combustion.pdf</t>
  </si>
  <si>
    <t>2006 IPCC Guidelines for National Greenhouse Gas Inventories, Volume 2: Energy, Chapter 2: Stationary Combustion</t>
  </si>
  <si>
    <t>TDF</t>
  </si>
  <si>
    <t>CH Resources Beaver Falls</t>
  </si>
  <si>
    <t>Covanta Hempstead</t>
  </si>
  <si>
    <t>Covanta Hempstead Company</t>
  </si>
  <si>
    <t>Masspower</t>
  </si>
  <si>
    <t>Indeck Jonesboro Energy Center</t>
  </si>
  <si>
    <t>Indeck West Enfield Energy Center</t>
  </si>
  <si>
    <t>Industrial NAICS Cogen</t>
  </si>
  <si>
    <t>Industrial NAICS Non-Cogen</t>
  </si>
  <si>
    <t>Anson Abenaki Hydros</t>
  </si>
  <si>
    <t>Commercial NAICS Non-Cogen</t>
  </si>
  <si>
    <t>Commercial NAICS Cogen</t>
  </si>
  <si>
    <t>PUR</t>
  </si>
  <si>
    <t>Finch Paper</t>
  </si>
  <si>
    <t>Finch Paper LLC</t>
  </si>
  <si>
    <t>WDL</t>
  </si>
  <si>
    <t>Medical Area Total Energy Plant</t>
  </si>
  <si>
    <t>OBS</t>
  </si>
  <si>
    <t>Cornell University Central Heat</t>
  </si>
  <si>
    <t>Cornell University</t>
  </si>
  <si>
    <t>Somerset Plant</t>
  </si>
  <si>
    <t>Sappi Fine Paper North America-Somerset</t>
  </si>
  <si>
    <t>OBL</t>
  </si>
  <si>
    <t>S D Warren Westbrook</t>
  </si>
  <si>
    <t>PG</t>
  </si>
  <si>
    <t>OOG</t>
  </si>
  <si>
    <t>Androscoggin Mill</t>
  </si>
  <si>
    <t>Ticonderoga Mill</t>
  </si>
  <si>
    <t>IPC-Ticonderoga</t>
  </si>
  <si>
    <t>New York University Central Plant</t>
  </si>
  <si>
    <t>New York University</t>
  </si>
  <si>
    <t>Mass Inst Tech Cntrl Utilities/Cogen Plt</t>
  </si>
  <si>
    <t>Massachusetts Inst of Tech</t>
  </si>
  <si>
    <t>gaseous propane</t>
  </si>
  <si>
    <t>other biomass gas</t>
  </si>
  <si>
    <t>other biomass solids</t>
  </si>
  <si>
    <t>Edgewood Energy</t>
  </si>
  <si>
    <t>Equus  Power I</t>
  </si>
  <si>
    <t>Shoreham Energy</t>
  </si>
  <si>
    <t>Part 75 CO2 is not used when only a portion of CO2 for a row on Form 923 is reported under Part 75</t>
  </si>
  <si>
    <t>Maine Emissions Adjustment to Account for NMISA</t>
  </si>
  <si>
    <t>Devon Power LLC</t>
  </si>
  <si>
    <t>Caithness Long Island Energy Center</t>
  </si>
  <si>
    <t>Caithness Long Island, LLC</t>
  </si>
  <si>
    <t>High Sheldon Wind Farm</t>
  </si>
  <si>
    <t>Invenergy Services LLC</t>
  </si>
  <si>
    <t>PV</t>
  </si>
  <si>
    <t>SUN</t>
  </si>
  <si>
    <t>Algonquin Power Windsor Locks, LLC</t>
  </si>
  <si>
    <t>Pratt &amp; Whitney, East Hartford</t>
  </si>
  <si>
    <t>South Meadow Station</t>
  </si>
  <si>
    <t>11A</t>
  </si>
  <si>
    <t>11B</t>
  </si>
  <si>
    <t>12A</t>
  </si>
  <si>
    <t>12B</t>
  </si>
  <si>
    <t>13A</t>
  </si>
  <si>
    <t>13B</t>
  </si>
  <si>
    <t>14A</t>
  </si>
  <si>
    <t>14B</t>
  </si>
  <si>
    <t>Waterbury Generation</t>
  </si>
  <si>
    <t>Deer Island Treatment</t>
  </si>
  <si>
    <t>S42</t>
  </si>
  <si>
    <t>S43</t>
  </si>
  <si>
    <t>MASSPOWER</t>
  </si>
  <si>
    <t>Medway Station</t>
  </si>
  <si>
    <t>J1T1</t>
  </si>
  <si>
    <t>J1T2</t>
  </si>
  <si>
    <t>J2T1</t>
  </si>
  <si>
    <t>J2T2</t>
  </si>
  <si>
    <t>J3T1</t>
  </si>
  <si>
    <t>J3T2</t>
  </si>
  <si>
    <t>Pittsfield Generating</t>
  </si>
  <si>
    <t>Potter</t>
  </si>
  <si>
    <t>Astoria Gas Turbine Power</t>
  </si>
  <si>
    <t>CT2-1A</t>
  </si>
  <si>
    <t>CT2-1B</t>
  </si>
  <si>
    <t>CT2-2A</t>
  </si>
  <si>
    <t>CT2-2B</t>
  </si>
  <si>
    <t>CT2-3A</t>
  </si>
  <si>
    <t>CT2-3B</t>
  </si>
  <si>
    <t>CT2-4A</t>
  </si>
  <si>
    <t>CT2-4B</t>
  </si>
  <si>
    <t>CT3-1A</t>
  </si>
  <si>
    <t>CT3-1B</t>
  </si>
  <si>
    <t>CT3-2A</t>
  </si>
  <si>
    <t>CT3-2B</t>
  </si>
  <si>
    <t>CT3-3A</t>
  </si>
  <si>
    <t>CT3-3B</t>
  </si>
  <si>
    <t>CT3-4A</t>
  </si>
  <si>
    <t>CT3-4B</t>
  </si>
  <si>
    <t>CT4-1A</t>
  </si>
  <si>
    <t>CT4-1B</t>
  </si>
  <si>
    <t>CT4-2A</t>
  </si>
  <si>
    <t>CT4-2B</t>
  </si>
  <si>
    <t>CT4-3A</t>
  </si>
  <si>
    <t>CT4-3B</t>
  </si>
  <si>
    <t>CT4-4A</t>
  </si>
  <si>
    <t>CT4-4B</t>
  </si>
  <si>
    <t>31RH</t>
  </si>
  <si>
    <t>32SH</t>
  </si>
  <si>
    <t>51RH</t>
  </si>
  <si>
    <t>52SH</t>
  </si>
  <si>
    <t>Black River Generation, LLC</t>
  </si>
  <si>
    <t>E0001</t>
  </si>
  <si>
    <t>E0002</t>
  </si>
  <si>
    <t>E0003</t>
  </si>
  <si>
    <t>U00012</t>
  </si>
  <si>
    <t>U00013</t>
  </si>
  <si>
    <t>U00014</t>
  </si>
  <si>
    <t>U00015</t>
  </si>
  <si>
    <t>U00016</t>
  </si>
  <si>
    <t>U00017</t>
  </si>
  <si>
    <t>U00018</t>
  </si>
  <si>
    <t>U00019</t>
  </si>
  <si>
    <t>Fortistar North Tonawanda Inc</t>
  </si>
  <si>
    <t>NTCT1</t>
  </si>
  <si>
    <t>U00020</t>
  </si>
  <si>
    <t>U00021</t>
  </si>
  <si>
    <t>Hillburn</t>
  </si>
  <si>
    <t>Holtsville Facility</t>
  </si>
  <si>
    <t>U00001</t>
  </si>
  <si>
    <t>U00002</t>
  </si>
  <si>
    <t>U00003</t>
  </si>
  <si>
    <t>U00004</t>
  </si>
  <si>
    <t>U00005</t>
  </si>
  <si>
    <t>U00006</t>
  </si>
  <si>
    <t>U00007</t>
  </si>
  <si>
    <t>U00008</t>
  </si>
  <si>
    <t>U00009</t>
  </si>
  <si>
    <t>U00010</t>
  </si>
  <si>
    <t>U00011</t>
  </si>
  <si>
    <t>KIAC Cogeneration</t>
  </si>
  <si>
    <t>Lockport</t>
  </si>
  <si>
    <t>Nassau Energy Corporation</t>
  </si>
  <si>
    <t>CT02-1</t>
  </si>
  <si>
    <t>CT02-2</t>
  </si>
  <si>
    <t>CT02-3</t>
  </si>
  <si>
    <t>CT02-4</t>
  </si>
  <si>
    <t>CT03-1</t>
  </si>
  <si>
    <t>CT03-2</t>
  </si>
  <si>
    <t>CT03-3</t>
  </si>
  <si>
    <t>CT03-4</t>
  </si>
  <si>
    <t>Saranac Power Partners, LP</t>
  </si>
  <si>
    <t>Selkirk Cogen Partners</t>
  </si>
  <si>
    <t>CTG101</t>
  </si>
  <si>
    <t>CTG201</t>
  </si>
  <si>
    <t>CTG301</t>
  </si>
  <si>
    <t>Shoemaker</t>
  </si>
  <si>
    <t>Wading River Facility</t>
  </si>
  <si>
    <t>UGT007</t>
  </si>
  <si>
    <t>UGT008</t>
  </si>
  <si>
    <t>UGT009</t>
  </si>
  <si>
    <t>West Babylon Facility</t>
  </si>
  <si>
    <t>UGT001</t>
  </si>
  <si>
    <t>Berlin 5</t>
  </si>
  <si>
    <t>Plant Name</t>
  </si>
  <si>
    <t>Ashokan</t>
  </si>
  <si>
    <t>Branford</t>
  </si>
  <si>
    <t>Connecticut Jet Power LLC</t>
  </si>
  <si>
    <t>Bulls Bridge</t>
  </si>
  <si>
    <t>Cos Cob</t>
  </si>
  <si>
    <t>Scotland Dam</t>
  </si>
  <si>
    <t>Shepaug</t>
  </si>
  <si>
    <t>Stevenson</t>
  </si>
  <si>
    <t>Taftville</t>
  </si>
  <si>
    <t>Tunnel</t>
  </si>
  <si>
    <t>Farmington River Power Company</t>
  </si>
  <si>
    <t>Falls Village</t>
  </si>
  <si>
    <t>Franklin Drive</t>
  </si>
  <si>
    <t>South Meadow</t>
  </si>
  <si>
    <t>Torrington Terminal</t>
  </si>
  <si>
    <t>Central Hudson Gas &amp; Elec Corp</t>
  </si>
  <si>
    <t>North Main Street</t>
  </si>
  <si>
    <t>Tenth Street</t>
  </si>
  <si>
    <t>Upper Mechanicville</t>
  </si>
  <si>
    <t>New York State Elec &amp; Gas Corp</t>
  </si>
  <si>
    <t>W K Sanders</t>
  </si>
  <si>
    <t>East Barnet</t>
  </si>
  <si>
    <t>Charles E Monty</t>
  </si>
  <si>
    <t>Jarvis (Hinckley)</t>
  </si>
  <si>
    <t>Bar Mills</t>
  </si>
  <si>
    <t>Bonny Eagle</t>
  </si>
  <si>
    <t>Cape Gas Turbine</t>
  </si>
  <si>
    <t>FPL Energy Cape LLC</t>
  </si>
  <si>
    <t>Deer Rips</t>
  </si>
  <si>
    <t>Gulf Island</t>
  </si>
  <si>
    <t>Hiram</t>
  </si>
  <si>
    <t>Messalonskee 2 (Oakland)</t>
  </si>
  <si>
    <t>Messalonskee 3</t>
  </si>
  <si>
    <t>North Gorham</t>
  </si>
  <si>
    <t>Shawmut</t>
  </si>
  <si>
    <t>Skelton</t>
  </si>
  <si>
    <t>West Buxton</t>
  </si>
  <si>
    <t>Squa Pan Hydro Station</t>
  </si>
  <si>
    <t>Exelon Framingham LLC</t>
  </si>
  <si>
    <t>Exelon Power</t>
  </si>
  <si>
    <t>Exelon Medway LLC</t>
  </si>
  <si>
    <t>Oak Bluffs Diesel Generating Facility</t>
  </si>
  <si>
    <t>Boatlock</t>
  </si>
  <si>
    <t>City of Holyoke Gas and Electric Dept.</t>
  </si>
  <si>
    <t>Chemical</t>
  </si>
  <si>
    <t>Hadley Falls</t>
  </si>
  <si>
    <t>Nantucket Electric Co</t>
  </si>
  <si>
    <t>Deerfield 5</t>
  </si>
  <si>
    <t>Cobble Mountain</t>
  </si>
  <si>
    <t>Doreen</t>
  </si>
  <si>
    <t>Gardners Falls</t>
  </si>
  <si>
    <t>Putts Bridge</t>
  </si>
  <si>
    <t>Redbridge</t>
  </si>
  <si>
    <t>Woodland Road</t>
  </si>
  <si>
    <t>High Street Station</t>
  </si>
  <si>
    <t>Wilder</t>
  </si>
  <si>
    <t>Eastman Falls</t>
  </si>
  <si>
    <t>Gorham</t>
  </si>
  <si>
    <t>Hooksett</t>
  </si>
  <si>
    <t>Jackman</t>
  </si>
  <si>
    <t>Lost Nation</t>
  </si>
  <si>
    <t>White Lake</t>
  </si>
  <si>
    <t>Dashville</t>
  </si>
  <si>
    <t>Neversink</t>
  </si>
  <si>
    <t>South Cairo</t>
  </si>
  <si>
    <t>Sturgeon</t>
  </si>
  <si>
    <t>West Coxsackie</t>
  </si>
  <si>
    <t>Hudson Avenue</t>
  </si>
  <si>
    <t>59th Street</t>
  </si>
  <si>
    <t>National Grid Generation LLC</t>
  </si>
  <si>
    <t>East Hampton</t>
  </si>
  <si>
    <t>Shoreham</t>
  </si>
  <si>
    <t>South Hampton</t>
  </si>
  <si>
    <t>Southold</t>
  </si>
  <si>
    <t>West Babylon</t>
  </si>
  <si>
    <t>Cadyville</t>
  </si>
  <si>
    <t>Kent Falls</t>
  </si>
  <si>
    <t>Allens Falls</t>
  </si>
  <si>
    <t>Beardslee</t>
  </si>
  <si>
    <t>Belfort</t>
  </si>
  <si>
    <t>Bennetts Bridge</t>
  </si>
  <si>
    <t>Black River</t>
  </si>
  <si>
    <t>Blake</t>
  </si>
  <si>
    <t>Browns Falls</t>
  </si>
  <si>
    <t>Chasm</t>
  </si>
  <si>
    <t>Colton</t>
  </si>
  <si>
    <t>Deferiet</t>
  </si>
  <si>
    <t>Eagle</t>
  </si>
  <si>
    <t>Eel Weir</t>
  </si>
  <si>
    <t>Effley</t>
  </si>
  <si>
    <t>Elmer</t>
  </si>
  <si>
    <t>Ephratah</t>
  </si>
  <si>
    <t>East Norfolk</t>
  </si>
  <si>
    <t>Five Falls</t>
  </si>
  <si>
    <t>Flat Rock</t>
  </si>
  <si>
    <t>Granby</t>
  </si>
  <si>
    <t>Hannawa</t>
  </si>
  <si>
    <t>Herrings</t>
  </si>
  <si>
    <t>Heuvelton</t>
  </si>
  <si>
    <t>High Dam</t>
  </si>
  <si>
    <t>Oswego City of</t>
  </si>
  <si>
    <t>Higley</t>
  </si>
  <si>
    <t>Hydraulic Race</t>
  </si>
  <si>
    <t>Inghams</t>
  </si>
  <si>
    <t>Kamargo</t>
  </si>
  <si>
    <t>Lighthouse Hill</t>
  </si>
  <si>
    <t>Macomb</t>
  </si>
  <si>
    <t>Minetto</t>
  </si>
  <si>
    <t>Moshier</t>
  </si>
  <si>
    <t>Norfolk</t>
  </si>
  <si>
    <t>Norwood</t>
  </si>
  <si>
    <t>Oswego Falls East</t>
  </si>
  <si>
    <t>Oswego Falls West</t>
  </si>
  <si>
    <t>Parishville</t>
  </si>
  <si>
    <t>Piercefield</t>
  </si>
  <si>
    <t>Prospect</t>
  </si>
  <si>
    <t>Raymondville</t>
  </si>
  <si>
    <t>South Edwards</t>
  </si>
  <si>
    <t>School Street</t>
  </si>
  <si>
    <t>Schaghticoke</t>
  </si>
  <si>
    <t>Schuylerville</t>
  </si>
  <si>
    <t>Sewalls</t>
  </si>
  <si>
    <t>Sherman Island</t>
  </si>
  <si>
    <t>Soft Maple</t>
  </si>
  <si>
    <t>South Colton</t>
  </si>
  <si>
    <t>Stark</t>
  </si>
  <si>
    <t>Stewarts Bridge</t>
  </si>
  <si>
    <t>Sugar Island</t>
  </si>
  <si>
    <t>Taylorville</t>
  </si>
  <si>
    <t>Trenton Falls</t>
  </si>
  <si>
    <t>Varick</t>
  </si>
  <si>
    <t>Waterport</t>
  </si>
  <si>
    <t>Yaleville</t>
  </si>
  <si>
    <t>Grahamsville</t>
  </si>
  <si>
    <t>Rio</t>
  </si>
  <si>
    <t>Swinging Bridge 2</t>
  </si>
  <si>
    <t>Rochester 26</t>
  </si>
  <si>
    <t>Rochester Gas &amp; Electric Corp</t>
  </si>
  <si>
    <t>Greenport</t>
  </si>
  <si>
    <t>Jamestown Board of Public Util</t>
  </si>
  <si>
    <t>Crescent</t>
  </si>
  <si>
    <t>Vischer Ferry</t>
  </si>
  <si>
    <t>Charles P Keller</t>
  </si>
  <si>
    <t>Watertown</t>
  </si>
  <si>
    <t>Ascutney</t>
  </si>
  <si>
    <t>Cavendish</t>
  </si>
  <si>
    <t>Clark Falls</t>
  </si>
  <si>
    <t>Fairfax Falls</t>
  </si>
  <si>
    <t>Glen</t>
  </si>
  <si>
    <t>Lower Middlebury</t>
  </si>
  <si>
    <t>Milton</t>
  </si>
  <si>
    <t>Peterson</t>
  </si>
  <si>
    <t>Pittsford</t>
  </si>
  <si>
    <t>Rutland</t>
  </si>
  <si>
    <t>Salisbury</t>
  </si>
  <si>
    <t>Weybridge</t>
  </si>
  <si>
    <t>Newport</t>
  </si>
  <si>
    <t>Great Bay Hydro Corp</t>
  </si>
  <si>
    <t>Colchester 16</t>
  </si>
  <si>
    <t>Marshfield 6</t>
  </si>
  <si>
    <t>Middlesex 2</t>
  </si>
  <si>
    <t>West Danville 15</t>
  </si>
  <si>
    <t>Bellows Falls</t>
  </si>
  <si>
    <t>Harriman</t>
  </si>
  <si>
    <t>Canaan</t>
  </si>
  <si>
    <t>West Charleston</t>
  </si>
  <si>
    <t>Barton Village, Inc</t>
  </si>
  <si>
    <t>Burlington GT</t>
  </si>
  <si>
    <t>Morrisville</t>
  </si>
  <si>
    <t>Cadys Falls</t>
  </si>
  <si>
    <t>Sherman</t>
  </si>
  <si>
    <t>Deerfield 2</t>
  </si>
  <si>
    <t>West Tisbury Generating Facility</t>
  </si>
  <si>
    <t>Deerfield 3</t>
  </si>
  <si>
    <t>NextEra Energy Seabrook LLC</t>
  </si>
  <si>
    <t>Deerfield 4</t>
  </si>
  <si>
    <t>Shrewsbury</t>
  </si>
  <si>
    <t>Dwight</t>
  </si>
  <si>
    <t>Indian Orchard</t>
  </si>
  <si>
    <t>Turners Falls</t>
  </si>
  <si>
    <t>Proctor</t>
  </si>
  <si>
    <t>Beldens</t>
  </si>
  <si>
    <t>Carver Falls</t>
  </si>
  <si>
    <t>Gorge 18</t>
  </si>
  <si>
    <t>Mcindoes</t>
  </si>
  <si>
    <t>Mill C</t>
  </si>
  <si>
    <t>Vergennes 9</t>
  </si>
  <si>
    <t>Waterbury 22</t>
  </si>
  <si>
    <t>E J West</t>
  </si>
  <si>
    <t>Searsburg</t>
  </si>
  <si>
    <t>Block Island</t>
  </si>
  <si>
    <t>Wilkins Station</t>
  </si>
  <si>
    <t>Highgate Falls</t>
  </si>
  <si>
    <t>Wrightsville Hydro Plant</t>
  </si>
  <si>
    <t>Bolton Falls</t>
  </si>
  <si>
    <t>Richard M Flynn</t>
  </si>
  <si>
    <t>Front Street</t>
  </si>
  <si>
    <t>Talcville</t>
  </si>
  <si>
    <t>Allegany Cogen</t>
  </si>
  <si>
    <t>Glenwood Landing</t>
  </si>
  <si>
    <t>Fife Brook</t>
  </si>
  <si>
    <t>Pouch</t>
  </si>
  <si>
    <t>Cherry Street</t>
  </si>
  <si>
    <t>Cabot Holyoke</t>
  </si>
  <si>
    <t>General Electric Aircraft Engines</t>
  </si>
  <si>
    <t>Hillsborough Hosiery</t>
  </si>
  <si>
    <t>Silverstreet Hydro</t>
  </si>
  <si>
    <t>Derby Hydro</t>
  </si>
  <si>
    <t>McCallum Enterprises I LP</t>
  </si>
  <si>
    <t>Lockwood Hydroelectric Facility</t>
  </si>
  <si>
    <t>Merimil Ltd Partnership</t>
  </si>
  <si>
    <t>Hampton Facility</t>
  </si>
  <si>
    <t>Foss Manufacturing Company LLC</t>
  </si>
  <si>
    <t>Hampshire Paper</t>
  </si>
  <si>
    <t>Hampshire Paper Co Inc</t>
  </si>
  <si>
    <t>Hollow Dam Power Partnership</t>
  </si>
  <si>
    <t>Deweys Mill</t>
  </si>
  <si>
    <t>M Street Jet</t>
  </si>
  <si>
    <t>Massachusetts Bay Trans Auth</t>
  </si>
  <si>
    <t>Mine Falls Generating Station</t>
  </si>
  <si>
    <t>Castleton Energy Center</t>
  </si>
  <si>
    <t>Moose River</t>
  </si>
  <si>
    <t>Philadlephia</t>
  </si>
  <si>
    <t>Lower Saranac Hydroelectric Facility</t>
  </si>
  <si>
    <t>Warrensburg Hydroelectric</t>
  </si>
  <si>
    <t>Boralex Hydro Operations Inc</t>
  </si>
  <si>
    <t>Middle Falls Hydro</t>
  </si>
  <si>
    <t>Sissonville Hydro</t>
  </si>
  <si>
    <t>New York State Dam Hydro</t>
  </si>
  <si>
    <t>Diana Hydroelectric</t>
  </si>
  <si>
    <t>Dolgeville Hydro</t>
  </si>
  <si>
    <t>Cornell Hydro</t>
  </si>
  <si>
    <t>Bridgewater Power LP</t>
  </si>
  <si>
    <t>Bridgewater Power Co LP</t>
  </si>
  <si>
    <t>Clark University</t>
  </si>
  <si>
    <t>Indian Orchard Plant 1</t>
  </si>
  <si>
    <t>Solutia Inc-Indian</t>
  </si>
  <si>
    <t>Fourth Branch Hydroelectric Facility</t>
  </si>
  <si>
    <t>Mead Rumford Cogen</t>
  </si>
  <si>
    <t>Sheldon Springs Hydroelectric</t>
  </si>
  <si>
    <t>Wheelabrator Hudson Falls</t>
  </si>
  <si>
    <t>Lederle Laboratories</t>
  </si>
  <si>
    <t>Benton Falls Associates</t>
  </si>
  <si>
    <t>Essex Hydro Associates LLC</t>
  </si>
  <si>
    <t>Dodge Falls Associates</t>
  </si>
  <si>
    <t>Dodge Falls Associates LP</t>
  </si>
  <si>
    <t>Feeder Dam Hydro Plant</t>
  </si>
  <si>
    <t>Beebee Island Hydro Plant</t>
  </si>
  <si>
    <t>Dexter Plant</t>
  </si>
  <si>
    <t>CHI Energy Inc</t>
  </si>
  <si>
    <t>Theresa Plant</t>
  </si>
  <si>
    <t>Diamond Island Plant</t>
  </si>
  <si>
    <t>Hailesboro 4 Plant</t>
  </si>
  <si>
    <t>Copenhagen Plant</t>
  </si>
  <si>
    <t>Pyrites Plant</t>
  </si>
  <si>
    <t>Brassua Hydroelectric Project</t>
  </si>
  <si>
    <t>Brassua Hydroelectric LP</t>
  </si>
  <si>
    <t>Boott Hydropower</t>
  </si>
  <si>
    <t>Algonquin Windsor Locks</t>
  </si>
  <si>
    <t>Algonquin Windsor Locks LLC</t>
  </si>
  <si>
    <t>Errol Hydroelectric Project</t>
  </si>
  <si>
    <t>Errol Hydroelectric Co LLC</t>
  </si>
  <si>
    <t>Gilman Mill</t>
  </si>
  <si>
    <t>Ampersand Gilman Hydro LP</t>
  </si>
  <si>
    <t>Carthage Energy LLC</t>
  </si>
  <si>
    <t>CH Resources Syracuse</t>
  </si>
  <si>
    <t>Covanta Southeastern Connecticut Company</t>
  </si>
  <si>
    <t>Black River Hydro Associates</t>
  </si>
  <si>
    <t>Pepperell Hydro Power Plant</t>
  </si>
  <si>
    <t>Barker Lower</t>
  </si>
  <si>
    <t>Lachute Hydro Lower</t>
  </si>
  <si>
    <t>Lachute Hydro Upper</t>
  </si>
  <si>
    <t>Port Leyden Hydroelectric Project</t>
  </si>
  <si>
    <t>Empire Hydro Partners</t>
  </si>
  <si>
    <t>Oakdale Power Station</t>
  </si>
  <si>
    <t>Massachusetts Water Res Auth</t>
  </si>
  <si>
    <t>Cosgrove Intake and Power Station</t>
  </si>
  <si>
    <t>Walden</t>
  </si>
  <si>
    <t>Center Falls</t>
  </si>
  <si>
    <t>Victory Mills</t>
  </si>
  <si>
    <t>Pittsfield Generating LP</t>
  </si>
  <si>
    <t>Valley Falls Hydroelectric Facility</t>
  </si>
  <si>
    <t>Valley Falls Associates</t>
  </si>
  <si>
    <t>MMWAC Resource Recovery Facility</t>
  </si>
  <si>
    <t>Norton Powerhouse</t>
  </si>
  <si>
    <t>Saint - Gobain Abrasives Inc</t>
  </si>
  <si>
    <t>International Paper Jay Hydro</t>
  </si>
  <si>
    <t>Penobscot Energy Recovery</t>
  </si>
  <si>
    <t>ESOCO Orrington LLC</t>
  </si>
  <si>
    <t>Goodyear Lake Plant</t>
  </si>
  <si>
    <t>Otis Hydro</t>
  </si>
  <si>
    <t>International Paper Riley Hydro</t>
  </si>
  <si>
    <t>International Paper Livermore Hydro</t>
  </si>
  <si>
    <t>Univ of Massachusetts Medical Center</t>
  </si>
  <si>
    <t>University of Massachusetts Medical</t>
  </si>
  <si>
    <t>Chateaugay High Falls Hydro</t>
  </si>
  <si>
    <t>China Mill Hydro</t>
  </si>
  <si>
    <t>New Hampshire Hydro Associates</t>
  </si>
  <si>
    <t>Normanskill Hydro Project</t>
  </si>
  <si>
    <t>Watervliet City of</t>
  </si>
  <si>
    <t>Ottauquechee Hydro</t>
  </si>
  <si>
    <t>South Oaks Hospital</t>
  </si>
  <si>
    <t>South Oak Hospital</t>
  </si>
  <si>
    <t>Union Falls</t>
  </si>
  <si>
    <t>US Gypsum Oakfield</t>
  </si>
  <si>
    <t>U S Gypsum Co</t>
  </si>
  <si>
    <t>Regional Waste Systems</t>
  </si>
  <si>
    <t>Ecomaine</t>
  </si>
  <si>
    <t>Robbins Lumber</t>
  </si>
  <si>
    <t>Robbins Lumber Inc</t>
  </si>
  <si>
    <t>Hewittville Hydroelectric</t>
  </si>
  <si>
    <t>Unionville Hydro Project 2499 NY</t>
  </si>
  <si>
    <t>Pioneer Valley Resource Recovery</t>
  </si>
  <si>
    <t>Worumbo Hydro Station</t>
  </si>
  <si>
    <t>Dahowa Hydro</t>
  </si>
  <si>
    <t>Pembroke Hydro</t>
  </si>
  <si>
    <t>Chasm Hydro Partnership</t>
  </si>
  <si>
    <t>Newfound Hydroelectric</t>
  </si>
  <si>
    <t>Rolfe Canal Hydro</t>
  </si>
  <si>
    <t>Briar-Hydro Associates</t>
  </si>
  <si>
    <t>Penacook Lower Falls</t>
  </si>
  <si>
    <t>Newport Hydro</t>
  </si>
  <si>
    <t>Ridgewood Providence Power</t>
  </si>
  <si>
    <t>Gregg Falls</t>
  </si>
  <si>
    <t>Penacook Upper Falls Hydro</t>
  </si>
  <si>
    <t>Tannery Island Power</t>
  </si>
  <si>
    <t>Bronx Zoo</t>
  </si>
  <si>
    <t>New York Zoological Society</t>
  </si>
  <si>
    <t>Indeck Silver Springs Energy Center</t>
  </si>
  <si>
    <t>Indeck-Energy Serv Silver Spg</t>
  </si>
  <si>
    <t>Indeck Oswego Energy Center</t>
  </si>
  <si>
    <t>Indeck-Oswego Ltd Partnership</t>
  </si>
  <si>
    <t>Indeck Yerkes Energy Center</t>
  </si>
  <si>
    <t>Indeck-Yerkes Ltd Partnership</t>
  </si>
  <si>
    <t>Indeck Corinth Energy Center</t>
  </si>
  <si>
    <t>Indeck-Corinth Ltd Partnership</t>
  </si>
  <si>
    <t>Glen Park Hydroelectric Project</t>
  </si>
  <si>
    <t>Stillwater Reservoir Hydro</t>
  </si>
  <si>
    <t>Stillwater Associates</t>
  </si>
  <si>
    <t>Fort Miller Hydroelectric Facility</t>
  </si>
  <si>
    <t>Fort Miller Associates</t>
  </si>
  <si>
    <t>Boltonville Hydro Associates</t>
  </si>
  <si>
    <t>Lawrence Hydroelectric Associates</t>
  </si>
  <si>
    <t>New Milford Gas Recovery</t>
  </si>
  <si>
    <t>WM Renewable Energy LLC</t>
  </si>
  <si>
    <t>High Acres Gas Recovery</t>
  </si>
  <si>
    <t>Covanta Bristol Energy</t>
  </si>
  <si>
    <t>Covanta Bristol Inc</t>
  </si>
  <si>
    <t>Covanta Babylon Inc</t>
  </si>
  <si>
    <t>Lyonsdale Associates</t>
  </si>
  <si>
    <t>Huntington Resource Recovery Facility</t>
  </si>
  <si>
    <t>Huntington Resource Recovery</t>
  </si>
  <si>
    <t>Onondaga County Resource Recovery</t>
  </si>
  <si>
    <t>Covanta Onondega LP</t>
  </si>
  <si>
    <t>Gardiner</t>
  </si>
  <si>
    <t>Pumpkin Hill</t>
  </si>
  <si>
    <t>Salmon Falls</t>
  </si>
  <si>
    <t>Somersworth Lower Great Dam</t>
  </si>
  <si>
    <t>Pontook Hydro Facility</t>
  </si>
  <si>
    <t>Pontook Operating LP</t>
  </si>
  <si>
    <t>Sterling Power Partners LP</t>
  </si>
  <si>
    <t>Pejepscot Hydroelectric Project</t>
  </si>
  <si>
    <t>Topsham Hydro Partners</t>
  </si>
  <si>
    <t>West End Dam Hydroelectric Project</t>
  </si>
  <si>
    <t>Forestport</t>
  </si>
  <si>
    <t>Chicopee Hydroelectric Station</t>
  </si>
  <si>
    <t>Wheelabrator Concord Facility</t>
  </si>
  <si>
    <t>Wheelabrator North Andover</t>
  </si>
  <si>
    <t>Wheelabrator Millbury Facility</t>
  </si>
  <si>
    <t>Oswego County Energy Recovery</t>
  </si>
  <si>
    <t>Oswego County</t>
  </si>
  <si>
    <t>Carr Street Generating Sta LP</t>
  </si>
  <si>
    <t>Aziscohos Hydroelectric Project</t>
  </si>
  <si>
    <t>West Delaware Tunnel Plant</t>
  </si>
  <si>
    <t>Little Falls Hydro</t>
  </si>
  <si>
    <t>MacArthur Waste to Energy Facility</t>
  </si>
  <si>
    <t>Covanta MacArthur Renewable Energy</t>
  </si>
  <si>
    <t>Rhode Island Hospital</t>
  </si>
  <si>
    <t>Nassau Energy Corp</t>
  </si>
  <si>
    <t>Ogdensburg</t>
  </si>
  <si>
    <t>Hartford Hospital Cogeneration</t>
  </si>
  <si>
    <t>Hartford Steam Co</t>
  </si>
  <si>
    <t>Collins Facility</t>
  </si>
  <si>
    <t>Pawtucket Power Associates</t>
  </si>
  <si>
    <t>Pawtucket Power Associates LP</t>
  </si>
  <si>
    <t>Indeck Olean Energy Center</t>
  </si>
  <si>
    <t>Indeck-Olean Ltd Partnership</t>
  </si>
  <si>
    <t>Kennedy International Airport Cogen</t>
  </si>
  <si>
    <t>KIAC Partners</t>
  </si>
  <si>
    <t>Mechanic Falls</t>
  </si>
  <si>
    <t>Fortistar North Tonawanda</t>
  </si>
  <si>
    <t>North American Energy Services</t>
  </si>
  <si>
    <t>Hydro Kennebec Project</t>
  </si>
  <si>
    <t>Hydro Kennebec LLC</t>
  </si>
  <si>
    <t>Stony Brook Cogen Plant</t>
  </si>
  <si>
    <t>Nissequoque Cogen Partners</t>
  </si>
  <si>
    <t>Gillette SBMC</t>
  </si>
  <si>
    <t>The Gillette Company</t>
  </si>
  <si>
    <t>Pfizer Groton Plant</t>
  </si>
  <si>
    <t>Pfizer Inc</t>
  </si>
  <si>
    <t>Metropolitan Dist of Hartford</t>
  </si>
  <si>
    <t>Goodwin Hydroelectric</t>
  </si>
  <si>
    <t>Chace Mill Winooski One</t>
  </si>
  <si>
    <t>EHC West Hopkinton</t>
  </si>
  <si>
    <t>Kinneytown New Old</t>
  </si>
  <si>
    <t>Alice Falls Hydro Project</t>
  </si>
  <si>
    <t>Stillwater Hydro Electric Project</t>
  </si>
  <si>
    <t>Dartmouth College Heating Plant</t>
  </si>
  <si>
    <t>Dartmouth College</t>
  </si>
  <si>
    <t>Rollinsford</t>
  </si>
  <si>
    <t>Mascoma Hydro</t>
  </si>
  <si>
    <t>Longfalls Facility</t>
  </si>
  <si>
    <t>Lochmere Hydroelectric Plant</t>
  </si>
  <si>
    <t>Wappinger Falls Hydroelectric</t>
  </si>
  <si>
    <t>Windsor Machinery Co Inc</t>
  </si>
  <si>
    <t>Morris Energy Operations Company, LLC</t>
  </si>
  <si>
    <t>Batavia Power Plant</t>
  </si>
  <si>
    <t>Seneca Power Partners LP</t>
  </si>
  <si>
    <t>Pratt &amp; Whitney</t>
  </si>
  <si>
    <t>United Technologies</t>
  </si>
  <si>
    <t>Berlin Gorham</t>
  </si>
  <si>
    <t>Turnkey Landfill Gas Recovery</t>
  </si>
  <si>
    <t>Wheelabrator Lisbon</t>
  </si>
  <si>
    <t>South Glens Falls Hydroelectric</t>
  </si>
  <si>
    <t>Seneca Energy</t>
  </si>
  <si>
    <t>Seneca Energy II</t>
  </si>
  <si>
    <t>Plymouth State College Cogeneration</t>
  </si>
  <si>
    <t>Milford Power LP</t>
  </si>
  <si>
    <t>Bassett Healthcare</t>
  </si>
  <si>
    <t>Phoenix Hydro Project</t>
  </si>
  <si>
    <t>Wellesley College Central Utility Plant</t>
  </si>
  <si>
    <t>Wellesley College</t>
  </si>
  <si>
    <t>Hudson Falls Hydroelectric Project</t>
  </si>
  <si>
    <t>Harris Energy Realty</t>
  </si>
  <si>
    <t>Dighton Power, LLC</t>
  </si>
  <si>
    <t>Androscoggin Energy Center</t>
  </si>
  <si>
    <t>ANP Bellingham Energy Company LLC</t>
  </si>
  <si>
    <t>ANP Blackstone Energy Company LLC</t>
  </si>
  <si>
    <t>Wethersfield Wind Farm</t>
  </si>
  <si>
    <t>Gas Recovery Systems Inc</t>
  </si>
  <si>
    <t>Watchtower Educational Center</t>
  </si>
  <si>
    <t>Watchtower Bible &amp; Tract Soc-NY</t>
  </si>
  <si>
    <t>Bayswater Peaking Facility LLC</t>
  </si>
  <si>
    <t>Model City Energy Facility</t>
  </si>
  <si>
    <t>Model City Energy LLC</t>
  </si>
  <si>
    <t>Madison Windpower LLC</t>
  </si>
  <si>
    <t>Fenner Wind</t>
  </si>
  <si>
    <t>Quinebaug Lower Project</t>
  </si>
  <si>
    <t>Quinebaug Associates LLC</t>
  </si>
  <si>
    <t>Hawkeye Energy Greenport LLC</t>
  </si>
  <si>
    <t>Equus Freeport Power</t>
  </si>
  <si>
    <t>Equus Power I, L.P.,</t>
  </si>
  <si>
    <t>Jamaica Bay Peaking</t>
  </si>
  <si>
    <t>Jamaica Bay Peaking Facility, LLC</t>
  </si>
  <si>
    <t>Pinelawn Power LLC</t>
  </si>
  <si>
    <t>Waterside Power, LLC</t>
  </si>
  <si>
    <t>Ontario LFGTE</t>
  </si>
  <si>
    <t>Modern Innovative Energy LLC</t>
  </si>
  <si>
    <t>Innovative Energy Systems Inc</t>
  </si>
  <si>
    <t>Colonie LFGTE Facility</t>
  </si>
  <si>
    <t>Lempster Wind LLC</t>
  </si>
  <si>
    <t>AMERESCO Chicopee Energy LLC</t>
  </si>
  <si>
    <t>Chaffee Gas Recovery</t>
  </si>
  <si>
    <t>Fitchburg Gas Recovery</t>
  </si>
  <si>
    <t>Steel Winds Wind Farm</t>
  </si>
  <si>
    <t>Northbrook Lyons Falls LLC</t>
  </si>
  <si>
    <t>Gouldtown</t>
  </si>
  <si>
    <t>Kosterville</t>
  </si>
  <si>
    <t>Hull Wind II</t>
  </si>
  <si>
    <t>Hull Municipal Light Plant</t>
  </si>
  <si>
    <t>Moretown</t>
  </si>
  <si>
    <t>Fairfield University</t>
  </si>
  <si>
    <t>Brookfield Power Glen Falls Hydro</t>
  </si>
  <si>
    <t>DANC LFGTE Facility</t>
  </si>
  <si>
    <t>Clinton LFGTE Facility</t>
  </si>
  <si>
    <t>Hyland LFGTE Facility</t>
  </si>
  <si>
    <t>Beaver Ridge Wind</t>
  </si>
  <si>
    <t>Beaver Ridge Wind LLC</t>
  </si>
  <si>
    <t>Orono Hydro Station</t>
  </si>
  <si>
    <t>mcf</t>
  </si>
  <si>
    <t>Central Hudson High Falls</t>
  </si>
  <si>
    <t>City of Norwich - (CT)</t>
  </si>
  <si>
    <t>Messalonskee Stream Hydro LLC</t>
  </si>
  <si>
    <t>Messalonskee 5</t>
  </si>
  <si>
    <t>Algonquin Northern Maine</t>
  </si>
  <si>
    <t>City of Peabody - (MA)</t>
  </si>
  <si>
    <t>Village of Lyndonville - (VT)</t>
  </si>
  <si>
    <t>R E Ginna Nuclear Power Plant</t>
  </si>
  <si>
    <t>Village of Swanton - (VT)</t>
  </si>
  <si>
    <t>Washington Electric Coop - (VT)</t>
  </si>
  <si>
    <t>Town of Princeton - (MA)</t>
  </si>
  <si>
    <t>Joseph J Seymour Power Project</t>
  </si>
  <si>
    <t>Dutchess Cnty Resource Recovery Facility</t>
  </si>
  <si>
    <t>Woodland Pulp LLC</t>
  </si>
  <si>
    <t>MWH</t>
  </si>
  <si>
    <t>KEI (Maine) Power Management (III) LLC</t>
  </si>
  <si>
    <t>Union Falls Hydro Power LP</t>
  </si>
  <si>
    <t>Blackstone/Tupperware</t>
  </si>
  <si>
    <t>Blackstone Hydro Inc.</t>
  </si>
  <si>
    <t>Rhode Island LFG Genco</t>
  </si>
  <si>
    <t>KEI (Maine) Power Management (II) LLC</t>
  </si>
  <si>
    <t>Dartmouth Power Associates LP</t>
  </si>
  <si>
    <t>Upper Barker</t>
  </si>
  <si>
    <t>KEI (Maine) Power Management (IV) LLC</t>
  </si>
  <si>
    <t>Wallingford Energy LLC</t>
  </si>
  <si>
    <t>Edgewood Energy LLC</t>
  </si>
  <si>
    <t>Shoreham Energy LLC</t>
  </si>
  <si>
    <t>Dutch Hill Wind Project</t>
  </si>
  <si>
    <t>Cohocton Wind Project</t>
  </si>
  <si>
    <t>Lyons Falls Hydroelectric</t>
  </si>
  <si>
    <t>Fairfield University CHP Plant</t>
  </si>
  <si>
    <t>Stetson Wind I</t>
  </si>
  <si>
    <t>Stetson Wind II</t>
  </si>
  <si>
    <t>Fulton LFGTE Facility</t>
  </si>
  <si>
    <t>Waste Management Crossroads LFGTE</t>
  </si>
  <si>
    <t>Waste Management Madison County LFGTE</t>
  </si>
  <si>
    <t>GenConn Devon LLC</t>
  </si>
  <si>
    <t>Chautauqua LFGTE Facility</t>
  </si>
  <si>
    <t>MA Military Reservation Wind Project</t>
  </si>
  <si>
    <t>Haverhill Solar Power Project</t>
  </si>
  <si>
    <t>Massachusetts Electric Co</t>
  </si>
  <si>
    <t>NEDC Solar Site</t>
  </si>
  <si>
    <t>Fox Island Wind LLC</t>
  </si>
  <si>
    <t>Notus Wind 1</t>
  </si>
  <si>
    <t>Notus Clean Energy LLC</t>
  </si>
  <si>
    <t>HSCo CHP</t>
  </si>
  <si>
    <t>State-Fuel Level Increment</t>
  </si>
  <si>
    <t>FW</t>
  </si>
  <si>
    <t>Wallingford Energy, LLC</t>
  </si>
  <si>
    <t>Covanta Niagara</t>
  </si>
  <si>
    <t>R1B01</t>
  </si>
  <si>
    <t>CT-1</t>
  </si>
  <si>
    <t>CT-2</t>
  </si>
  <si>
    <t>Kleen Energy Systems Project</t>
  </si>
  <si>
    <t>U1</t>
  </si>
  <si>
    <t>U2</t>
  </si>
  <si>
    <t>AG - Energy</t>
  </si>
  <si>
    <t>CT3</t>
  </si>
  <si>
    <t>CT4</t>
  </si>
  <si>
    <t>Cayuga Operating Company, LLC</t>
  </si>
  <si>
    <t>Somerset Operating Company  (Kintigh)</t>
  </si>
  <si>
    <t>City of Burlington Electric - (VT)</t>
  </si>
  <si>
    <t>Constellation Mystic Power LLC</t>
  </si>
  <si>
    <t>Town of Braintree - (MA)</t>
  </si>
  <si>
    <t>City of Watertown - (NY)</t>
  </si>
  <si>
    <t>City of Chicopee - (MA)</t>
  </si>
  <si>
    <t>Princeton Wind Farm</t>
  </si>
  <si>
    <t>Dutchess County RRA</t>
  </si>
  <si>
    <t>ReEnergy Livermore Falls</t>
  </si>
  <si>
    <t>Al Turi</t>
  </si>
  <si>
    <t>Ameresco LFG I Inc</t>
  </si>
  <si>
    <t>ReEnergy Stratton LLC</t>
  </si>
  <si>
    <t>Huntington Falls</t>
  </si>
  <si>
    <t>Northbrook Carthage LLC</t>
  </si>
  <si>
    <t>CT Resource Rec Authority Facility</t>
  </si>
  <si>
    <t>NAES Corp</t>
  </si>
  <si>
    <t>Nashua Plant</t>
  </si>
  <si>
    <t>MM Taunton Energy</t>
  </si>
  <si>
    <t>MM Taunton Energy LLC</t>
  </si>
  <si>
    <t>MM Albany Energy</t>
  </si>
  <si>
    <t>MM Albany Energy LLC</t>
  </si>
  <si>
    <t>Westbrook Energy Center Power Plant</t>
  </si>
  <si>
    <t>Wallingford Energy</t>
  </si>
  <si>
    <t>GRS Fall River</t>
  </si>
  <si>
    <t>Kleen Energy Systems, LLC</t>
  </si>
  <si>
    <t>Rollins Wind Project</t>
  </si>
  <si>
    <t>GenConn Middletown LLC</t>
  </si>
  <si>
    <t>Sheffield Wind</t>
  </si>
  <si>
    <t>Hardscrabble Wind Power LLC</t>
  </si>
  <si>
    <t>Dartmouth Solar</t>
  </si>
  <si>
    <t>Consolidated Edison Development Inc.</t>
  </si>
  <si>
    <t>Chittenden County Solar Partners</t>
  </si>
  <si>
    <t>Chittenden County Solar Partners LLC</t>
  </si>
  <si>
    <t>Long Island Solar Farm LLC</t>
  </si>
  <si>
    <t>Bridge Street 1 &amp; 2</t>
  </si>
  <si>
    <t>Fort Hill 1, 2, 3 &amp; 4</t>
  </si>
  <si>
    <t>Fishers Island 1</t>
  </si>
  <si>
    <t>Gary Court 1 &amp; 2</t>
  </si>
  <si>
    <t>Jewett City 1</t>
  </si>
  <si>
    <t>LNG 1 &amp; 2</t>
  </si>
  <si>
    <t>Lebanon Pines 1 &amp; 2</t>
  </si>
  <si>
    <t>Water Treatment 1 &amp; 2</t>
  </si>
  <si>
    <t>Norwich WWTP</t>
  </si>
  <si>
    <t>Astoria Energy II</t>
  </si>
  <si>
    <t>Astoria Energy II LLC</t>
  </si>
  <si>
    <t>Foxwoods CoGen</t>
  </si>
  <si>
    <t>Foxwoods Resort Casino</t>
  </si>
  <si>
    <t>Indian Orchard PV Facility</t>
  </si>
  <si>
    <t>Western Massachusetts Electric Company</t>
  </si>
  <si>
    <t>Silver Lake Solar Photovoltaic Facility</t>
  </si>
  <si>
    <t>Norden 1-3</t>
  </si>
  <si>
    <t>Third Taxing District of Norwalk</t>
  </si>
  <si>
    <t>Berkshire Wind Power Project</t>
  </si>
  <si>
    <t>Peak Power 1 Cogen</t>
  </si>
  <si>
    <t>Peak Power 1, LLC</t>
  </si>
  <si>
    <t>OBP Cogen</t>
  </si>
  <si>
    <t>OBP Cogen LLC</t>
  </si>
  <si>
    <t>RFC</t>
  </si>
  <si>
    <t>Middlebury College</t>
  </si>
  <si>
    <t>Middlebury College Biomass</t>
  </si>
  <si>
    <t>Ipswich Wind Turbine</t>
  </si>
  <si>
    <t>Howard Wind Farm</t>
  </si>
  <si>
    <t>Holyoke Solar Cooperative at Mueller</t>
  </si>
  <si>
    <t>Holyoke Solar LLC</t>
  </si>
  <si>
    <t>Town of Shrewsbury - (MA)</t>
  </si>
  <si>
    <t>Rousselot Inc</t>
  </si>
  <si>
    <t>Palmer Hydroelectric</t>
  </si>
  <si>
    <t>wood &amp; wood energy used as fuel</t>
  </si>
  <si>
    <t>NHHS2</t>
  </si>
  <si>
    <t>NHHS3</t>
  </si>
  <si>
    <t>NHHS4</t>
  </si>
  <si>
    <t>CCI Roseton LLC</t>
  </si>
  <si>
    <t>Lakeside Beaver Falls LLC</t>
  </si>
  <si>
    <t>Lakeside Syracuse LLC</t>
  </si>
  <si>
    <t>Tiverton Power, LLC</t>
  </si>
  <si>
    <t>These values are for filtered checking.</t>
  </si>
  <si>
    <t>U.S. Department of Energy, The Energy Information Administration (EIA)</t>
  </si>
  <si>
    <t>Sources: EIA-923 and EIA-860 Reports</t>
  </si>
  <si>
    <t/>
  </si>
  <si>
    <t>Year-To-Date</t>
  </si>
  <si>
    <t>Plant Id</t>
  </si>
  <si>
    <t>Nuclear Unit Id</t>
  </si>
  <si>
    <t>Operator Id</t>
  </si>
  <si>
    <t>YEAR</t>
  </si>
  <si>
    <t>MAT</t>
  </si>
  <si>
    <t>NEW</t>
  </si>
  <si>
    <t>FirstLight Power Resources, Inc. - MA</t>
  </si>
  <si>
    <t>Brookfield White Pine Hydro LLC</t>
  </si>
  <si>
    <t>Ellsworth Hydro Station</t>
  </si>
  <si>
    <t>Milford Hydro Station</t>
  </si>
  <si>
    <t>Stillwater Hydro Station</t>
  </si>
  <si>
    <t>Town of Ipswich - (MA)</t>
  </si>
  <si>
    <t>Alliance NYGT, LLC</t>
  </si>
  <si>
    <t>Rochester 5</t>
  </si>
  <si>
    <t>Bear Swamp Power Company LLC</t>
  </si>
  <si>
    <t>Roseton Generating Facility</t>
  </si>
  <si>
    <t>Black River Generation LLC</t>
  </si>
  <si>
    <t>Rumford Falls Hydro Facility</t>
  </si>
  <si>
    <t>Power City Partners LP</t>
  </si>
  <si>
    <t>Bassett Medical Center</t>
  </si>
  <si>
    <t>Tiverton Power LLC</t>
  </si>
  <si>
    <t>Medway Hydro</t>
  </si>
  <si>
    <t>Marble River Wind Farm</t>
  </si>
  <si>
    <t>Marble River, LLC</t>
  </si>
  <si>
    <t>Steel Winds II</t>
  </si>
  <si>
    <t>Bull Hill Wind Project</t>
  </si>
  <si>
    <t>Dorchester Solar Site</t>
  </si>
  <si>
    <t>New England Wind LLC</t>
  </si>
  <si>
    <t>Oneida Herkimer</t>
  </si>
  <si>
    <t>Record Hill Wind</t>
  </si>
  <si>
    <t>Record Hill Wind LLC</t>
  </si>
  <si>
    <t>Dartmouth II Solar</t>
  </si>
  <si>
    <t>Douglas Solar</t>
  </si>
  <si>
    <t>Town of Uxbridge MA at Commerce Dr</t>
  </si>
  <si>
    <t>Constellation Solar Net Metering LLC</t>
  </si>
  <si>
    <t>Town of Norfolk MA at Medway Branch</t>
  </si>
  <si>
    <t>Constellation Solar Massachusetts LLC</t>
  </si>
  <si>
    <t>Kingdom Community Wind</t>
  </si>
  <si>
    <t>Groveland Solar</t>
  </si>
  <si>
    <t>Shrewsbury Solar</t>
  </si>
  <si>
    <t>Boston Scientific Solar</t>
  </si>
  <si>
    <t>Consolidated Edison Solutions Inc</t>
  </si>
  <si>
    <t>Granite Reliable Power</t>
  </si>
  <si>
    <t>Mt Wachusett Community College</t>
  </si>
  <si>
    <t>Spruce Mountain WInd</t>
  </si>
  <si>
    <t>Spruce Mountain Wind LLC</t>
  </si>
  <si>
    <t>Padelford Solar</t>
  </si>
  <si>
    <t>Charlestown Wind Turbine</t>
  </si>
  <si>
    <t>MWRA Charlestown</t>
  </si>
  <si>
    <t>Cellu Tissue</t>
  </si>
  <si>
    <t>Groton Wind LLC</t>
  </si>
  <si>
    <t>Twin Rivers Paper Co LLC</t>
  </si>
  <si>
    <t>Danbury Hospital Cogen Plant</t>
  </si>
  <si>
    <t>Danbury Hospital</t>
  </si>
  <si>
    <t>Eastern Maine Medical Center</t>
  </si>
  <si>
    <t>SUNY Old Westbury College</t>
  </si>
  <si>
    <t>University of Rochester</t>
  </si>
  <si>
    <t>Wesleyan University Cogen 1</t>
  </si>
  <si>
    <t>Wesleyan University</t>
  </si>
  <si>
    <t>UCONN Cogen Facility</t>
  </si>
  <si>
    <t>University of Connecticut</t>
  </si>
  <si>
    <t>Williams College - Campus CHP</t>
  </si>
  <si>
    <t>President &amp; Trustees of Williams College</t>
  </si>
  <si>
    <t>Smith College Central Heating Plant</t>
  </si>
  <si>
    <t>The Trustees of Smith College</t>
  </si>
  <si>
    <t>UNH 7.9 MW Plant</t>
  </si>
  <si>
    <t>Emcor Energy Services</t>
  </si>
  <si>
    <t>Rand Whitney CHP Plant</t>
  </si>
  <si>
    <t>Rand Whitney Containerboard L.P.</t>
  </si>
  <si>
    <t>Amherst College Co Gen</t>
  </si>
  <si>
    <t>Amherst College</t>
  </si>
  <si>
    <t>Monroe Community College Plant</t>
  </si>
  <si>
    <t>NFM Solar Power LLC</t>
  </si>
  <si>
    <t>CCSU Co-Gen-STBY Gen</t>
  </si>
  <si>
    <t>Central Connecticut State University</t>
  </si>
  <si>
    <t>CCSU Fuel Cell Project</t>
  </si>
  <si>
    <t>New Britain Renewable Energy, LLC</t>
  </si>
  <si>
    <t>FC</t>
  </si>
  <si>
    <t>Georgia Mountain Community Wind Farm</t>
  </si>
  <si>
    <t>Acushnet AD Makepeace</t>
  </si>
  <si>
    <t>Acushnet Hawes Reed Road</t>
  </si>
  <si>
    <t>Easthampton Landfill-City of Easthampton</t>
  </si>
  <si>
    <t>Bradley Energy Center</t>
  </si>
  <si>
    <t>Ameresco Select Inc</t>
  </si>
  <si>
    <t>Biomass</t>
  </si>
  <si>
    <t>Coal</t>
  </si>
  <si>
    <t>Diesel</t>
  </si>
  <si>
    <t>Digester Gas</t>
  </si>
  <si>
    <t>Energy Storage</t>
  </si>
  <si>
    <t>Fuel cell</t>
  </si>
  <si>
    <t>Hydroelectric/Hydropower</t>
  </si>
  <si>
    <t>Hydrokinetic</t>
  </si>
  <si>
    <t>Jet</t>
  </si>
  <si>
    <t>Landfill gas</t>
  </si>
  <si>
    <t>Municipal solid waste</t>
  </si>
  <si>
    <t>Natural gas</t>
  </si>
  <si>
    <t>Nuclear</t>
  </si>
  <si>
    <t>Oil</t>
  </si>
  <si>
    <t>Solar Photovoltaic</t>
  </si>
  <si>
    <t>Trash-to-energy</t>
  </si>
  <si>
    <t>Wind</t>
  </si>
  <si>
    <t>Wood</t>
  </si>
  <si>
    <t>Q</t>
  </si>
  <si>
    <t>MSN =</t>
  </si>
  <si>
    <t>MSB =</t>
  </si>
  <si>
    <t>landfill gas transferred out through RPS</t>
  </si>
  <si>
    <t>Average CHP-NG Heat Rate for Region =</t>
  </si>
  <si>
    <t>Average CHP-DFO Heat Rate for Region =</t>
  </si>
  <si>
    <t>CHP NG Heat Rates</t>
  </si>
  <si>
    <t>CHP DFO Heat Rates</t>
  </si>
  <si>
    <t>From CT</t>
  </si>
  <si>
    <t>MA fuel-specific MSS MMBTUs to CT</t>
  </si>
  <si>
    <t>MA fuel-specific NON MMBTUs to CT</t>
  </si>
  <si>
    <t>NH fuel-specific MSS MMBTUs to CT</t>
  </si>
  <si>
    <t>NH fuel-specific NON MMBTUs to CT</t>
  </si>
  <si>
    <t>FUELS</t>
  </si>
  <si>
    <t>MSS</t>
  </si>
  <si>
    <t>NON</t>
  </si>
  <si>
    <t>TOTAL</t>
  </si>
  <si>
    <t>Residual Mix</t>
  </si>
  <si>
    <t>RI fuel-specific MSS MMBTUs to CT</t>
  </si>
  <si>
    <t>RI fuel-specific NON MMBTUs to CT</t>
  </si>
  <si>
    <t>VT fuel-specific MSS MMBTUs to CT</t>
  </si>
  <si>
    <t>VT fuel-specific NON MMBTUs to CT</t>
  </si>
  <si>
    <t>CONNECTICUT MWH</t>
  </si>
  <si>
    <t>From MA</t>
  </si>
  <si>
    <t>CT fuel-specific MSS MMBTUs to MA</t>
  </si>
  <si>
    <t>CT fuel-specific NON MMBTUs to MA</t>
  </si>
  <si>
    <t>CT fuel-specific MSS MMBTUs to CT</t>
  </si>
  <si>
    <t>CT fuel-specific NON MMBTUs to CT</t>
  </si>
  <si>
    <t>MA fuel-specific MSS MMBTUs to MA</t>
  </si>
  <si>
    <t>MA fuel-specific NON MMBTUs to MA</t>
  </si>
  <si>
    <t>MASSACHUSETTS</t>
  </si>
  <si>
    <t xml:space="preserve"> CT fuel-specific MSS MMBTUs to ME</t>
  </si>
  <si>
    <t>CT fuel-specific NON MMBTUs to ME</t>
  </si>
  <si>
    <t>MA fuel-specific MSS MMBTUs to ME</t>
  </si>
  <si>
    <t>MA fuel-specific NON MMBTUs to ME</t>
  </si>
  <si>
    <t>-</t>
  </si>
  <si>
    <t>MAINE</t>
  </si>
  <si>
    <t>From ME</t>
  </si>
  <si>
    <t>IMP</t>
  </si>
  <si>
    <t>CT fuel-specific MSS MMBTUs to NH</t>
  </si>
  <si>
    <t>CT fuel-specific NON MMBTUs to NH</t>
  </si>
  <si>
    <t>CT fuel-specific MSS MMBTUs to RI</t>
  </si>
  <si>
    <t>CT fuel-specific NON MMBTUs to RI</t>
  </si>
  <si>
    <t>CT fuel-specific MSS MMBTUs to VT</t>
  </si>
  <si>
    <t>CT fuel-specific NON MMBTUs to VT</t>
  </si>
  <si>
    <t>MA fuel-specific MSS MMBTUs to NH</t>
  </si>
  <si>
    <t>MA fuel-specific MSS MMBTUs to RI</t>
  </si>
  <si>
    <t>MA fuel-specific NON MMBTUs to RI</t>
  </si>
  <si>
    <t>MA fuel-specific MSS MMBTUs to VT</t>
  </si>
  <si>
    <t>MA fuel-specific NON MMBTUs to VT</t>
  </si>
  <si>
    <t>ME fuel-specific NON MMBTUs to CT</t>
  </si>
  <si>
    <t>ME fuel-specific NON MMBTUs to MA</t>
  </si>
  <si>
    <t>ME fuel-specific NON MMBTUs to ME</t>
  </si>
  <si>
    <t>ME fuel-specific NON MMBTUs to NH</t>
  </si>
  <si>
    <t>MA fuel-specific NON MMBTUs to NH</t>
  </si>
  <si>
    <t>ME fuel-specific NON MMBTUs to RI</t>
  </si>
  <si>
    <t>ME fuel-specific NON MMBTUs to VT</t>
  </si>
  <si>
    <t>From NH</t>
  </si>
  <si>
    <t>NEW HAMPSHIRE</t>
  </si>
  <si>
    <t>NH fuel-specific MSS MMBTUs to MA</t>
  </si>
  <si>
    <t>NH fuel-specific NON MMBTUs to MA</t>
  </si>
  <si>
    <t>NH fuel-specific MSS MMBTUs to ME</t>
  </si>
  <si>
    <t>NH fuel-specific NON MMBTUs to ME</t>
  </si>
  <si>
    <t>NH fuel-specific MSS MMBTUs to NH</t>
  </si>
  <si>
    <t>NH fuel-specific NON MMBTUs to NH</t>
  </si>
  <si>
    <t>NH fuel-specific MSS MMBTUs to RI</t>
  </si>
  <si>
    <t>NH fuel-specific NON MMBTUs to RI</t>
  </si>
  <si>
    <t>NH fuel-specific MSS MMBTUs to VT</t>
  </si>
  <si>
    <t>NH fuel-specific NON MMBTUs to VT</t>
  </si>
  <si>
    <t>From RI</t>
  </si>
  <si>
    <t>RHODE ISLAND</t>
  </si>
  <si>
    <t>RI fuel-specific MSS MMBTUs to MA</t>
  </si>
  <si>
    <t>RI fuel-specific NON MMBTUs to MA</t>
  </si>
  <si>
    <t>RI fuel-specific MSS MMBTUs to ME</t>
  </si>
  <si>
    <t>RI fuel-specific NON MMBTUs to ME</t>
  </si>
  <si>
    <t>RI fuel-specific MSS MMBTUs to NH</t>
  </si>
  <si>
    <t>RI fuel-specific NON MMBTUs to NH</t>
  </si>
  <si>
    <t>RI fuel-specific MSS MMBTUs to RI</t>
  </si>
  <si>
    <t>RI fuel-specific NON MMBTUs to RI</t>
  </si>
  <si>
    <t>From VT</t>
  </si>
  <si>
    <t>VERMONT</t>
  </si>
  <si>
    <t>VT fuel-specific MSS MMBTUs to MA</t>
  </si>
  <si>
    <t>VT fuel-specific NON MMBTUs to MA</t>
  </si>
  <si>
    <t>VT fuel-specific MSS MMBTUs to ME</t>
  </si>
  <si>
    <t>VT fuel-specific NON MMBTUs to ME</t>
  </si>
  <si>
    <t>VT fuel-specific MSS MMBTUs to NH</t>
  </si>
  <si>
    <t>VT fuel-specific NON MMBTUs to NH</t>
  </si>
  <si>
    <t>VT fuel-specific MSS MMBTUs to RI</t>
  </si>
  <si>
    <t>VT fuel-specific NON MMBTUs to RI</t>
  </si>
  <si>
    <t>VT fuel-specific MSS MMBTUs to VT</t>
  </si>
  <si>
    <t>VT fuel-specific NON MMBTUs to VT</t>
  </si>
  <si>
    <t>From NY</t>
  </si>
  <si>
    <t>NEW YORK</t>
  </si>
  <si>
    <t>NY fuel-specific IMP MMBTUs to CT</t>
  </si>
  <si>
    <t>NY fuel-specific IMP MMBTUs to MA</t>
  </si>
  <si>
    <t>NY fuel-specific IMP MMBTUs to ME</t>
  </si>
  <si>
    <t>NY fuel-specific IMP MMBTUs to NH</t>
  </si>
  <si>
    <t>NY fuel-specific IMP MMBTUs to RI</t>
  </si>
  <si>
    <t>NY fuel-specific IMP MMBTUs to VT</t>
  </si>
  <si>
    <t>PRINCE EDWARD ISLAND</t>
  </si>
  <si>
    <t>NB fuel-specific IMP MMBTUs to CT</t>
  </si>
  <si>
    <t>NB fuel-specific IMP MMBTUs to MA</t>
  </si>
  <si>
    <t>NB fuel-specific IMP MMBTUs to ME</t>
  </si>
  <si>
    <t>NB fuel-specific IMP MMBTUs to NH</t>
  </si>
  <si>
    <t>NB fuel-specific IMP MMBTUs to RI</t>
  </si>
  <si>
    <t>NB fuel-specific IMP MMBTUs to VT</t>
  </si>
  <si>
    <t>Q fuel-specific IMP MMBTUs to CT</t>
  </si>
  <si>
    <t>Q fuel-specific IMP MMBTUs to MA</t>
  </si>
  <si>
    <t>Q fuel-specific IMP MMBTUs to ME</t>
  </si>
  <si>
    <t>Q fuel-specific IMP MMBTUs to NH</t>
  </si>
  <si>
    <t>Q fuel-specific IMP MMBTUs to RI</t>
  </si>
  <si>
    <t>Q fuel-specific IMP MMBTUs to VT</t>
  </si>
  <si>
    <t>QUEBEC</t>
  </si>
  <si>
    <t>RED-Rochester, LLC</t>
  </si>
  <si>
    <t>Westford Solar Park</t>
  </si>
  <si>
    <t>ME fuel-specific MSS &amp; IMP MMBTUs to CT</t>
  </si>
  <si>
    <t>ME fuel-specific MSS &amp; IMP MMBTUs to MA</t>
  </si>
  <si>
    <t>ME fuel-specific MSS &amp; IMP MMBTUs to ME</t>
  </si>
  <si>
    <t>ME fuel-specific MSS &amp; IMP MMBTUs to NH</t>
  </si>
  <si>
    <t>ME fuel-specific MSS &amp;  IMP MMBTUs to RI</t>
  </si>
  <si>
    <t>ME fuel-specific MSS &amp; IMP MMBTUs to VT</t>
  </si>
  <si>
    <t>CO2e from CO2 from Non-Biogenic Fuels</t>
  </si>
  <si>
    <t xml:space="preserve">CO2e from CO2 from Non-Biogenic Fuels </t>
  </si>
  <si>
    <t>POSITIVE Net Generation MWh</t>
  </si>
  <si>
    <t>Elec Fuel Consumption MMBTU (positive gen only)</t>
  </si>
  <si>
    <t>Unit HEAT RATES - electric
(MMBTU/MWh)</t>
  </si>
  <si>
    <t>Weighted Average Wood Heat Rate for Region =</t>
  </si>
  <si>
    <t>Weighted Average LFG Heat Rate for Region =</t>
  </si>
  <si>
    <t>HEAT RATE TABLE</t>
  </si>
  <si>
    <t>Weighted State-wide Average Heat Rates by NEPOOL GIS Fuel Type 
(MMBTU/MWh)</t>
  </si>
  <si>
    <t>Corresponding EIA Fuel Codes for emitting fuels</t>
  </si>
  <si>
    <t>Landfill gas (Regional for Quebec)</t>
  </si>
  <si>
    <t>IPCC Report</t>
  </si>
  <si>
    <t>AR4 = 2007 Fourth Assessment Report</t>
  </si>
  <si>
    <t>AR5 = 2014 Fifth Assessment Report</t>
  </si>
  <si>
    <t>Global Warming Potential</t>
  </si>
  <si>
    <t>Table C-1</t>
  </si>
  <si>
    <t>Table C-2</t>
  </si>
  <si>
    <t>Fuel type</t>
  </si>
  <si>
    <t>Default high heat value</t>
  </si>
  <si>
    <t>Default CO2 emission factor</t>
  </si>
  <si>
    <t>Default CH4 emission factor (kg CH4/mmBtu)</t>
  </si>
  <si>
    <t>Default N2O emission factor (kg N2O/mmBtu)</t>
  </si>
  <si>
    <t>Coal and coke</t>
  </si>
  <si>
    <t>mmBtu/short ton</t>
  </si>
  <si>
    <t>kg CO2/mmBtu</t>
  </si>
  <si>
    <t>Coal and Coke (All fuel types in Table C-1)</t>
  </si>
  <si>
    <t>1.1 × 10−02</t>
  </si>
  <si>
    <t>1.6 × 10−03</t>
  </si>
  <si>
    <t>Anthracite</t>
  </si>
  <si>
    <t>Natural Gas</t>
  </si>
  <si>
    <t>1.0 × 10−03</t>
  </si>
  <si>
    <t>1.0 × 10−04</t>
  </si>
  <si>
    <t>Bituminous</t>
  </si>
  <si>
    <t>Petroleum (All fuel types in Table C-1)</t>
  </si>
  <si>
    <t>3.0 × 10−03</t>
  </si>
  <si>
    <t>6.0 × 10−04</t>
  </si>
  <si>
    <t>Subbituminous</t>
  </si>
  <si>
    <t>Fuel Gas</t>
  </si>
  <si>
    <t>Lignite</t>
  </si>
  <si>
    <t>Municipal Solid Waste</t>
  </si>
  <si>
    <t>3.2 × 10−02</t>
  </si>
  <si>
    <t>4.2 × 10−03</t>
  </si>
  <si>
    <t>Coal Coke</t>
  </si>
  <si>
    <t>Tires</t>
  </si>
  <si>
    <t>Mixed (Commercial sector)</t>
  </si>
  <si>
    <t>Blast Furnace Gas</t>
  </si>
  <si>
    <t>2.2 × 10−05</t>
  </si>
  <si>
    <t>Mixed (Industrial coking)</t>
  </si>
  <si>
    <t>Coke Oven Gas</t>
  </si>
  <si>
    <t>4.8 × 10−04</t>
  </si>
  <si>
    <t>Mixed (Industrial sector)</t>
  </si>
  <si>
    <t>Biomass Fuels—Solid (All fuel types in Table C-1, except wood and wood residuals)</t>
  </si>
  <si>
    <t>Mixed (Electric Power sector)</t>
  </si>
  <si>
    <t>Wood and wood residuals</t>
  </si>
  <si>
    <t>7.2 × 10−03</t>
  </si>
  <si>
    <t>3.6 × 10−03</t>
  </si>
  <si>
    <t>mmBtu/scf</t>
  </si>
  <si>
    <t>Biomass Fuels—Gaseous (All fuel types in Table C-1)</t>
  </si>
  <si>
    <t>3.2 × 10−03</t>
  </si>
  <si>
    <t>6.3 × 10−04</t>
  </si>
  <si>
    <t>(Weighted U.S. Average)</t>
  </si>
  <si>
    <t>1.026 × 10−3</t>
  </si>
  <si>
    <t>Biomass Fuels—Liquid (All fuel types in Table C-1)</t>
  </si>
  <si>
    <t>1.1 × 10−03</t>
  </si>
  <si>
    <t>1.1 × 10−04</t>
  </si>
  <si>
    <t>Petroleum products</t>
  </si>
  <si>
    <t>mmBtu/gallon</t>
  </si>
  <si>
    <t>Distillate Fuel Oil No. 1</t>
  </si>
  <si>
    <t>Distillate Fuel Oil No. 2</t>
  </si>
  <si>
    <t>Distillate Fuel Oil No. 4</t>
  </si>
  <si>
    <t>Residual Fuel Oil No. 5</t>
  </si>
  <si>
    <t>Residual Fuel Oil No. 6</t>
  </si>
  <si>
    <t>Used Oil</t>
  </si>
  <si>
    <t>Kerosene</t>
  </si>
  <si>
    <t>Liquefied petroleum gases (LPG)1</t>
  </si>
  <si>
    <t>Propane1</t>
  </si>
  <si>
    <t>Propylene2</t>
  </si>
  <si>
    <t>Ethane1</t>
  </si>
  <si>
    <t>Ethanol</t>
  </si>
  <si>
    <t>Ethylene2</t>
  </si>
  <si>
    <t>Isobutane1</t>
  </si>
  <si>
    <t>Isobutylene1</t>
  </si>
  <si>
    <t>Butane1</t>
  </si>
  <si>
    <t>Butylene1</t>
  </si>
  <si>
    <t>Naphtha (&lt;401 deg F)</t>
  </si>
  <si>
    <t>Natural Gasoline</t>
  </si>
  <si>
    <t>Other Oil (&gt;401 deg F)</t>
  </si>
  <si>
    <t>Pentanes Plus</t>
  </si>
  <si>
    <t>Petrochemical Feedstocks</t>
  </si>
  <si>
    <t>Petroleum Coke</t>
  </si>
  <si>
    <t>Special Naphtha</t>
  </si>
  <si>
    <t>Unfinished Oils</t>
  </si>
  <si>
    <t>Heavy Gas Oils</t>
  </si>
  <si>
    <t>Lubricants</t>
  </si>
  <si>
    <t>Motor Gasoline</t>
  </si>
  <si>
    <t>Aviation Gasoline</t>
  </si>
  <si>
    <t>Kerosene-Type Jet Fuel</t>
  </si>
  <si>
    <t>Asphalt and Road Oil</t>
  </si>
  <si>
    <t>Crude Oil</t>
  </si>
  <si>
    <t>Other fuels—solid</t>
  </si>
  <si>
    <t>Plastics</t>
  </si>
  <si>
    <t>Other fuels—gaseous</t>
  </si>
  <si>
    <t>0.092 × 10−3</t>
  </si>
  <si>
    <t>0.599 × 10−3</t>
  </si>
  <si>
    <t>Propane Gas</t>
  </si>
  <si>
    <t>2.516 × 10−3</t>
  </si>
  <si>
    <t>Fuel Gas4</t>
  </si>
  <si>
    <t>1.388 × 10−3</t>
  </si>
  <si>
    <t>Biomass fuels—solid</t>
  </si>
  <si>
    <t>Wood and Wood Residuals (dry basis)5</t>
  </si>
  <si>
    <t>Agricultural Byproducts</t>
  </si>
  <si>
    <t>Peat</t>
  </si>
  <si>
    <t>Solid Byproducts</t>
  </si>
  <si>
    <t>Biomass fuels—gaseous</t>
  </si>
  <si>
    <t>Landfill Gas</t>
  </si>
  <si>
    <t>0.485 × 10−3</t>
  </si>
  <si>
    <t>Other Biomass Gases</t>
  </si>
  <si>
    <t>0.655 × 10−3</t>
  </si>
  <si>
    <t>Biomass Fuels—Liquid</t>
  </si>
  <si>
    <t>Biodiesel (100%)</t>
  </si>
  <si>
    <t>Rendered Animal Fat</t>
  </si>
  <si>
    <t>Vegetable Oil</t>
  </si>
  <si>
    <t>lbs.</t>
  </si>
  <si>
    <t>1 kg =</t>
  </si>
  <si>
    <t>EPA Emission Factors (CO2 lb/MMBtu) HHV</t>
  </si>
  <si>
    <t>1 MMBtu =</t>
  </si>
  <si>
    <t>TJ</t>
  </si>
  <si>
    <t>Emission Factors - CO2</t>
  </si>
  <si>
    <t>Emission Factors - CH4</t>
  </si>
  <si>
    <t>Emission Factors - N2O</t>
  </si>
  <si>
    <t>EPA Emission Factors</t>
  </si>
  <si>
    <t>EIA Emission Factors</t>
  </si>
  <si>
    <t>EPA Emission Factors (CH4 lb/MMBtu) HHV</t>
  </si>
  <si>
    <t>IPCC Emission Factors N2O lb/MMBtu) LHV</t>
  </si>
  <si>
    <t>EPA Emission Factors (N2O lb/MMBtu) HHV</t>
  </si>
  <si>
    <t>Conversion Factors</t>
  </si>
  <si>
    <t>Selected Source</t>
  </si>
  <si>
    <t>Selected Emission Factor</t>
  </si>
  <si>
    <t>Emission Factor Selection</t>
  </si>
  <si>
    <t>Sources for emission factors were chosen based on two criteria: 1) geographic scope of the data relative to the emission sources, and 2) the regularity with which the data are updated. Based on these parameters, EIA emission factors are used when available. These are the preferred emission factors because they are a national-level dataset that are updated annually. In the absence of EIA data, EPA emission factors are used. In the absence of both national-level data sets, IPCC emission factors are used.</t>
  </si>
  <si>
    <t>MMBTU TABLES</t>
  </si>
  <si>
    <t>IPCC Conversions - Emission Factors, CO2</t>
  </si>
  <si>
    <t>IPCC Conversions - Emission Factors, CH4</t>
  </si>
  <si>
    <t>IPCC Conversions - Emission Factors, N2O</t>
  </si>
  <si>
    <t>IPCC Emission Factors (N2O kg/TJ) LHV</t>
  </si>
  <si>
    <t>Total RECs Imported</t>
  </si>
  <si>
    <t>Summary</t>
  </si>
  <si>
    <t>Total RECs Exported to NE</t>
  </si>
  <si>
    <t>Master Table: Non-Biogenic GHG Emissions</t>
  </si>
  <si>
    <t>Master Table: Biogenic CO2 Emissions</t>
  </si>
  <si>
    <t>Non-biogenic CO2e</t>
  </si>
  <si>
    <t>http://www.gpo.gov/fdsys/pkg/CFR-2014-title40-vol21/pdf/CFR-2014-title40-vol21-part98-subpartC-appC.pdf</t>
  </si>
  <si>
    <t>http://www.gpo.gov/fdsys/pkg/CFR-2014-title40-vol21/pdf/CFR-2014-title40-vol21-part98-subpartC-appC-id656.pdf</t>
  </si>
  <si>
    <t>Massachusetts - Total CO2e</t>
  </si>
  <si>
    <t>Connecticut - Total CO2e</t>
  </si>
  <si>
    <t>Maine - Total CO2e</t>
  </si>
  <si>
    <t>New Hampshire - Total CO2e</t>
  </si>
  <si>
    <t>New York - Total CO2e</t>
  </si>
  <si>
    <t>Rhode Island - Total CO2e</t>
  </si>
  <si>
    <t>Vermont - Total CO2e</t>
  </si>
  <si>
    <t>Quebec - Total CO2e</t>
  </si>
  <si>
    <t>New Brunswick - Total CO2e</t>
  </si>
  <si>
    <t>http://www.eia.gov/electricity/annual/</t>
  </si>
  <si>
    <t>Rocky River (CT)</t>
  </si>
  <si>
    <t>Rainbow (CT)</t>
  </si>
  <si>
    <t>Village of Morrisville - (VT)</t>
  </si>
  <si>
    <t>Brookfield Black Bear Hydro, LLC</t>
  </si>
  <si>
    <t>Brunswick Hydro</t>
  </si>
  <si>
    <t>Cataract Hydro</t>
  </si>
  <si>
    <t>Harris Hydro</t>
  </si>
  <si>
    <t>Weston Hydro</t>
  </si>
  <si>
    <t>Williams Hydro</t>
  </si>
  <si>
    <t>Riverside Holyoke</t>
  </si>
  <si>
    <t>Vernon Dam</t>
  </si>
  <si>
    <t>Smith (NH)</t>
  </si>
  <si>
    <t>Danskammer Energy</t>
  </si>
  <si>
    <t>Greenidge Generation LLC</t>
  </si>
  <si>
    <t>Greenidge Generation Holdings LLC</t>
  </si>
  <si>
    <t>High Falls - Saranac NY</t>
  </si>
  <si>
    <t>Franklin (NY)</t>
  </si>
  <si>
    <t>Glenwood Hydro</t>
  </si>
  <si>
    <t>High Falls - Croghan NY</t>
  </si>
  <si>
    <t>Johnsonville Dam</t>
  </si>
  <si>
    <t>Plant No 1 Freeport</t>
  </si>
  <si>
    <t>Village of Freeport - (NY)</t>
  </si>
  <si>
    <t>Plant No 2 Freeport</t>
  </si>
  <si>
    <t>Village of Greenport - (NY)</t>
  </si>
  <si>
    <t>Village of Rockville Centre - (NY)</t>
  </si>
  <si>
    <t>Smith (VT)</t>
  </si>
  <si>
    <t>Silver Lake (VT)</t>
  </si>
  <si>
    <t>Great Falls (VT)</t>
  </si>
  <si>
    <t>Rainbow Falls Auscble</t>
  </si>
  <si>
    <t>Allegany Generating Station, LLC</t>
  </si>
  <si>
    <t>Town of Hudson - (MA)</t>
  </si>
  <si>
    <t>Ampersand Hollow Dam Hydro LLC</t>
  </si>
  <si>
    <t>Upper Beaver Falls Project</t>
  </si>
  <si>
    <t>Pittsfield Hydro</t>
  </si>
  <si>
    <t>Lower Beaver Falls Project</t>
  </si>
  <si>
    <t>Plymouth State University</t>
  </si>
  <si>
    <t>Calpine Fore River Energy Center, LLC</t>
  </si>
  <si>
    <t>Air Force Civil Engineer Center</t>
  </si>
  <si>
    <t>Burgess BioPower</t>
  </si>
  <si>
    <t>Berlin Station, LLC</t>
  </si>
  <si>
    <t>Kimberly Clark-Unit 1,2,3</t>
  </si>
  <si>
    <t>Kimberly-Clark Corporation</t>
  </si>
  <si>
    <t>Stony Creek Wind Farm NY</t>
  </si>
  <si>
    <t>Wilson Solar</t>
  </si>
  <si>
    <t>HVCC Cogen Plant</t>
  </si>
  <si>
    <t>Hudson Valley Community College</t>
  </si>
  <si>
    <t>West Greenwich Solar</t>
  </si>
  <si>
    <t>Quittacas Pond Solar</t>
  </si>
  <si>
    <t>Northbridge Solar</t>
  </si>
  <si>
    <t>Synergy Biogas</t>
  </si>
  <si>
    <t>CH4 Biogas LLC</t>
  </si>
  <si>
    <t>Bellingham PV</t>
  </si>
  <si>
    <t>Marshfield PV</t>
  </si>
  <si>
    <t>Orange PV</t>
  </si>
  <si>
    <t>Montefieor Medical Center Moses Division</t>
  </si>
  <si>
    <t>Montefiore Medical Center Moses Division</t>
  </si>
  <si>
    <t>SunGen Sharon 1 LLC</t>
  </si>
  <si>
    <t>Owens Corning at Bethlehem</t>
  </si>
  <si>
    <t>Merrimac Solar</t>
  </si>
  <si>
    <t>Forbes Street Solar</t>
  </si>
  <si>
    <t>Forbes Street Solar, LLC</t>
  </si>
  <si>
    <t>Indeck Energy-Alexandria</t>
  </si>
  <si>
    <t>Indeck Energy-Alexandria, LLC</t>
  </si>
  <si>
    <t>Frito Lay Incorporated</t>
  </si>
  <si>
    <t>Frito Lay Incorporated Dayville</t>
  </si>
  <si>
    <t>Oswegatchie</t>
  </si>
  <si>
    <t>Upper Newton Falls</t>
  </si>
  <si>
    <t>Axio Green LLC</t>
  </si>
  <si>
    <t>Brentwood Solar</t>
  </si>
  <si>
    <t>CD US Solar MT1 LLC</t>
  </si>
  <si>
    <t>Deer Park</t>
  </si>
  <si>
    <t>Dennison</t>
  </si>
  <si>
    <t>North County</t>
  </si>
  <si>
    <t>Riverhead</t>
  </si>
  <si>
    <t>Cohalan</t>
  </si>
  <si>
    <t>Sheldon Solar</t>
  </si>
  <si>
    <t>Sudbury Landfill</t>
  </si>
  <si>
    <t>Berkley East Solar LLC</t>
  </si>
  <si>
    <t>Stuyvesant Falls</t>
  </si>
  <si>
    <t>Albany Engineering Corporation</t>
  </si>
  <si>
    <t>Integrys MA Solar, LLC - Ashburnham Site</t>
  </si>
  <si>
    <t>Integrys MA Solar, LLC</t>
  </si>
  <si>
    <t>Open View Solar Farm</t>
  </si>
  <si>
    <t>Cross Pollination Inc</t>
  </si>
  <si>
    <t>Camelot Wind LLC</t>
  </si>
  <si>
    <t>Dept of Corrections NCCI Wind</t>
  </si>
  <si>
    <t>Pine Tree Landfill Gas to Energy</t>
  </si>
  <si>
    <t>Pine Tree Landfill</t>
  </si>
  <si>
    <t>Southbridge Landfill Gas-to-Energy</t>
  </si>
  <si>
    <t>Scituate PV</t>
  </si>
  <si>
    <t>Bolton PV</t>
  </si>
  <si>
    <t>Stow PV</t>
  </si>
  <si>
    <t>Agawam Solar</t>
  </si>
  <si>
    <t>Citizens Enterprises Corporation</t>
  </si>
  <si>
    <t>Rehoboth Solar</t>
  </si>
  <si>
    <t>Chicopee Solar</t>
  </si>
  <si>
    <t>Route 57 Solar</t>
  </si>
  <si>
    <t>EBZ Solar</t>
  </si>
  <si>
    <t>Whately Solar</t>
  </si>
  <si>
    <t>West Davisville Solar</t>
  </si>
  <si>
    <t>Waste Water Treatment Plant</t>
  </si>
  <si>
    <t>City of Pittsfield</t>
  </si>
  <si>
    <t>Acushnet-Braley Road 1</t>
  </si>
  <si>
    <t>Acushnet- High Hill</t>
  </si>
  <si>
    <t>Dartmouth Landfill</t>
  </si>
  <si>
    <t>WECC</t>
  </si>
  <si>
    <t>Easton Landfill</t>
  </si>
  <si>
    <t>Ludlow Landfill</t>
  </si>
  <si>
    <t>Methuen Landfill</t>
  </si>
  <si>
    <t>Plymouth Site 1</t>
  </si>
  <si>
    <t>Franklin 1</t>
  </si>
  <si>
    <t>CD US Solar MT 2 LLC</t>
  </si>
  <si>
    <t>Franklin 2</t>
  </si>
  <si>
    <t>Brockelman</t>
  </si>
  <si>
    <t>Johnston LFG Turbine Plant</t>
  </si>
  <si>
    <t>WED NK Green</t>
  </si>
  <si>
    <t>WED NK Green LLC</t>
  </si>
  <si>
    <t>Kendall Green Energy LLC</t>
  </si>
  <si>
    <t>Milford Power, LLC</t>
  </si>
  <si>
    <t>In these states, the load is greater than the generation.</t>
  </si>
  <si>
    <t>CHP</t>
  </si>
  <si>
    <t>Rainbow Falls Hydro</t>
  </si>
  <si>
    <t>Clement Dam Hydro LLC</t>
  </si>
  <si>
    <t>Mt Ida Hydroelectric</t>
  </si>
  <si>
    <t>Ampersand Mount Ida Hydro LLC</t>
  </si>
  <si>
    <t>Bucksport Generation LLC</t>
  </si>
  <si>
    <t>Lower Village Water Power Project</t>
  </si>
  <si>
    <t>OG</t>
  </si>
  <si>
    <t>Ameresco Chicopee Energy</t>
  </si>
  <si>
    <t>Plainfield Renewable Energy LLC</t>
  </si>
  <si>
    <t>Plainfield Renewable Energy, LLC</t>
  </si>
  <si>
    <t>Green Meadows</t>
  </si>
  <si>
    <t>William Floyd School District</t>
  </si>
  <si>
    <t>Mass Midstate Solar 3</t>
  </si>
  <si>
    <t>Mass Midstate Solar 2</t>
  </si>
  <si>
    <t>Mass Midstate Solar 1</t>
  </si>
  <si>
    <t>Millbury Solar</t>
  </si>
  <si>
    <t>CES Sterling LLC</t>
  </si>
  <si>
    <t>Maynard PV</t>
  </si>
  <si>
    <t>Southbridge PV</t>
  </si>
  <si>
    <t>Somers Solar Center, LLC</t>
  </si>
  <si>
    <t>Cottage Street Solar Facility</t>
  </si>
  <si>
    <t>Berkshire 1</t>
  </si>
  <si>
    <t>PPS Berkshire Solar LLC</t>
  </si>
  <si>
    <t>North Brookfield</t>
  </si>
  <si>
    <t>Mass Solar, LLC</t>
  </si>
  <si>
    <t>Cape Cod Air Force Station - 6 SWS</t>
  </si>
  <si>
    <t>US Air Force</t>
  </si>
  <si>
    <t>Dartmouth</t>
  </si>
  <si>
    <t>Tihonet Solar</t>
  </si>
  <si>
    <t>Marsh Hill Wind Farm</t>
  </si>
  <si>
    <t>Walpole Solar 2</t>
  </si>
  <si>
    <t>Walpole Solar 2, LLC</t>
  </si>
  <si>
    <t>Gardner Solar 1</t>
  </si>
  <si>
    <t>Gardner Solar 1, LLC</t>
  </si>
  <si>
    <t>Technology Drive Solar</t>
  </si>
  <si>
    <t>Fairview Farms Solar</t>
  </si>
  <si>
    <t>651 Chase Solar NG</t>
  </si>
  <si>
    <t>Whitcomb Solar Farm</t>
  </si>
  <si>
    <t>ERWR Whitcomb Farm Solar LLC</t>
  </si>
  <si>
    <t>Brewster Landfill</t>
  </si>
  <si>
    <t>CF CVEC Owner One LLC</t>
  </si>
  <si>
    <t>Chatham Landfill</t>
  </si>
  <si>
    <t>Harwich Landfill</t>
  </si>
  <si>
    <t>Katama Farm</t>
  </si>
  <si>
    <t>Nunnepog</t>
  </si>
  <si>
    <t>Barnstable Landfill</t>
  </si>
  <si>
    <t>Dennis Landfill</t>
  </si>
  <si>
    <t>Lepomis PV Energy LLC</t>
  </si>
  <si>
    <t>EDF Renewable Asset Holdings, Inc.</t>
  </si>
  <si>
    <t>EDF Lancaster</t>
  </si>
  <si>
    <t>Beverly</t>
  </si>
  <si>
    <t>Devens</t>
  </si>
  <si>
    <t>Browne Solar LLC</t>
  </si>
  <si>
    <t>SunRay Power LLC</t>
  </si>
  <si>
    <t>Indian Hill Solar LLC</t>
  </si>
  <si>
    <t>State Street Solar LLC</t>
  </si>
  <si>
    <t>Westborough Solar LLC</t>
  </si>
  <si>
    <t>True North</t>
  </si>
  <si>
    <t>Grafton Solar</t>
  </si>
  <si>
    <t>Shaffer</t>
  </si>
  <si>
    <t>CD US Solar MT3, LLC</t>
  </si>
  <si>
    <t>Backus Microgrid Project</t>
  </si>
  <si>
    <t>Stillwater B</t>
  </si>
  <si>
    <t>Orono B</t>
  </si>
  <si>
    <t>St. Albans SPEED Project</t>
  </si>
  <si>
    <t>Albany Medical Ctr Cogen Plant</t>
  </si>
  <si>
    <t>Albany Medical Center</t>
  </si>
  <si>
    <t>Ayers Village Solar</t>
  </si>
  <si>
    <t>DESRI V Mass Solar Holdco, LLC</t>
  </si>
  <si>
    <t>Monson Solar</t>
  </si>
  <si>
    <t>Sullivan Solar</t>
  </si>
  <si>
    <t>Winchendon Solar</t>
  </si>
  <si>
    <t>KS Solar Six LLC</t>
  </si>
  <si>
    <t>Kearsarge Solar LLC</t>
  </si>
  <si>
    <t>Cornell Snyder Road Solar Array</t>
  </si>
  <si>
    <t>Ulysses Solar, LLC</t>
  </si>
  <si>
    <t>Clarendon Solar Farm</t>
  </si>
  <si>
    <t>Clarendon Solar Farm, LLC</t>
  </si>
  <si>
    <t>Claire Solar Farm</t>
  </si>
  <si>
    <t>Claire Solar Partners LLC</t>
  </si>
  <si>
    <t>NuGen Capital Management</t>
  </si>
  <si>
    <t>265 Pleasant Solar NG, LLC</t>
  </si>
  <si>
    <t>Antares-GRE 314 East Lyme LLC</t>
  </si>
  <si>
    <t>Acton Solar Landfill</t>
  </si>
  <si>
    <t>Heliovaas LLC</t>
  </si>
  <si>
    <t>Tisbury Landfill Solar</t>
  </si>
  <si>
    <t>Town of Williamson Landfill PV</t>
  </si>
  <si>
    <t>Clarkson Solar</t>
  </si>
  <si>
    <t>Main Street Solar Project</t>
  </si>
  <si>
    <t>NBC Field's Point Wind Farm</t>
  </si>
  <si>
    <t>Narragansett Bay Commission</t>
  </si>
  <si>
    <t>Charlotte Solar LLC VT</t>
  </si>
  <si>
    <t>Templeton</t>
  </si>
  <si>
    <t>Sunny Templeton, LLC</t>
  </si>
  <si>
    <t>Barton Solar Farm</t>
  </si>
  <si>
    <t>Barton Solar, LLC</t>
  </si>
  <si>
    <t>Bourne (MA) - Holliston I</t>
  </si>
  <si>
    <t>NVT LICENSES, LLC</t>
  </si>
  <si>
    <t>Chester Power Partners</t>
  </si>
  <si>
    <t>Stetson Road Solar - Barre I</t>
  </si>
  <si>
    <t>Barre II Solar Project</t>
  </si>
  <si>
    <t>Chester Solar Farm</t>
  </si>
  <si>
    <t>Concord Solar Farm</t>
  </si>
  <si>
    <t>Adams Farm Solar</t>
  </si>
  <si>
    <t>New Bedford (MA) Plymouth</t>
  </si>
  <si>
    <t>BWC Origination 4, LLC</t>
  </si>
  <si>
    <t>Upper Blackstone (MA) Treasure Valley</t>
  </si>
  <si>
    <t>Nexamp Treasure Valley Solar, LLC</t>
  </si>
  <si>
    <t>Advance Stores Company, Inc</t>
  </si>
  <si>
    <t>IBM Southbury</t>
  </si>
  <si>
    <t>Bloom Energy</t>
  </si>
  <si>
    <t>Granby LFG</t>
  </si>
  <si>
    <t>Industrial Power Services Corp.</t>
  </si>
  <si>
    <t>Nanticoke LFG</t>
  </si>
  <si>
    <t>Broome Energy Resources, LLC</t>
  </si>
  <si>
    <t>Hunt Farm Solar</t>
  </si>
  <si>
    <t>205 Sturbridge A</t>
  </si>
  <si>
    <t>201 Sturbridge B</t>
  </si>
  <si>
    <t>Lowell Solar Landfill</t>
  </si>
  <si>
    <t>Fore River Energy Center</t>
  </si>
  <si>
    <t>Beaver Falls, LLC</t>
  </si>
  <si>
    <t>Nissequogue Energy Center</t>
  </si>
  <si>
    <t>Roseton Generating LLC</t>
  </si>
  <si>
    <t>Syracuse, LLC</t>
  </si>
  <si>
    <t>NOTES</t>
  </si>
  <si>
    <t>Statistics Canada &amp; NEPOOL-GIS: Electricity Generation (MWh)</t>
  </si>
  <si>
    <t>R1B02</t>
  </si>
  <si>
    <t>Rhode Island State Energy Center</t>
  </si>
  <si>
    <t>Combined Heat And
Power Plant</t>
  </si>
  <si>
    <t>Plant State</t>
  </si>
  <si>
    <t>Reported
Prime Mover</t>
  </si>
  <si>
    <t>Reported
Fuel Type Code</t>
  </si>
  <si>
    <t>AER
Fuel Type Code</t>
  </si>
  <si>
    <t>Physical
Unit Label</t>
  </si>
  <si>
    <t>Total Fuel Consumption
Quantity</t>
  </si>
  <si>
    <t>Electric Fuel Consumption
Quantity</t>
  </si>
  <si>
    <t>Total Fuel Consumption
MMBtu</t>
  </si>
  <si>
    <t>Elec Fuel Consumption
MMBtu</t>
  </si>
  <si>
    <t>Net Generation
(Megawatthours)</t>
  </si>
  <si>
    <t>Essential Power Massachusetts LLC</t>
  </si>
  <si>
    <t>Harris Lake</t>
  </si>
  <si>
    <t>Exelon Nuclear</t>
  </si>
  <si>
    <t>EONY Generation Limited</t>
  </si>
  <si>
    <t>West Enfield Hydro</t>
  </si>
  <si>
    <t>ReEnergy Black River</t>
  </si>
  <si>
    <t>Milton Hydro</t>
  </si>
  <si>
    <t>SFR Hydro Cor</t>
  </si>
  <si>
    <t>Deer Island Treatment Plant</t>
  </si>
  <si>
    <t>Ampersand Tannery Island Hydro, LLC</t>
  </si>
  <si>
    <t>Erving Paper Mills</t>
  </si>
  <si>
    <t>Erving Paper Mills Inc</t>
  </si>
  <si>
    <t>GR Catalyst One, LLC</t>
  </si>
  <si>
    <t>Ampersand Long Falls Hydro, LLC</t>
  </si>
  <si>
    <t>Tanner Street Generation</t>
  </si>
  <si>
    <t>Bicent Power</t>
  </si>
  <si>
    <t>Dunn Paper</t>
  </si>
  <si>
    <t>EPP Renewable Energy</t>
  </si>
  <si>
    <t>Oakfield Wind Project</t>
  </si>
  <si>
    <t>SVEP Solar Project Company</t>
  </si>
  <si>
    <t>Williamstown Solar</t>
  </si>
  <si>
    <t>Leicester One MA Solar LLC</t>
  </si>
  <si>
    <t>Freetown Solar</t>
  </si>
  <si>
    <t>Constellation Solar Holding, LLC</t>
  </si>
  <si>
    <t>Saddleback Ridge Wind Farm</t>
  </si>
  <si>
    <t>Saddleback Ridge Wind, LLC</t>
  </si>
  <si>
    <t>Port Richmond WWT Solar</t>
  </si>
  <si>
    <t>Braley Road 2</t>
  </si>
  <si>
    <t>Sterlington Greenworks LLC</t>
  </si>
  <si>
    <t>Twiss Street Solar</t>
  </si>
  <si>
    <t>Chicopee River Solar</t>
  </si>
  <si>
    <t>Chicopee Granby Road Solar</t>
  </si>
  <si>
    <t>Charlton Solar I, LLC</t>
  </si>
  <si>
    <t>Framingham State University Plant</t>
  </si>
  <si>
    <t>Framingham State University</t>
  </si>
  <si>
    <t>Scituate Wind</t>
  </si>
  <si>
    <t>Scituate Wind LLC</t>
  </si>
  <si>
    <t>Fairhaven Wind</t>
  </si>
  <si>
    <t>Fairhaven Wind LLC</t>
  </si>
  <si>
    <t>Leominster (MA)-South Street-R&amp;D</t>
  </si>
  <si>
    <t>South Street Solar, LLC</t>
  </si>
  <si>
    <t>BlueWave Capital - Grafton (SREC II)</t>
  </si>
  <si>
    <t>TerraForm Solar XVII, LLC</t>
  </si>
  <si>
    <t>Millbrook School</t>
  </si>
  <si>
    <t>Spring Hill Road</t>
  </si>
  <si>
    <t>Johnston Solar</t>
  </si>
  <si>
    <t>Clarkstown Landfill Solar Facility</t>
  </si>
  <si>
    <t>Oxford</t>
  </si>
  <si>
    <t>UI RCP New Haven Fuel Cell</t>
  </si>
  <si>
    <t>United Illuminating Co</t>
  </si>
  <si>
    <t>UI RCP Bridgeport Seaside</t>
  </si>
  <si>
    <t>Syncarpha Palmer, LLC</t>
  </si>
  <si>
    <t>Federal Road Solar 1, LLC</t>
  </si>
  <si>
    <t>BWC Swan Pond River, LLC</t>
  </si>
  <si>
    <t>Leominster</t>
  </si>
  <si>
    <t>Syncarpha Massachusetts, LLC</t>
  </si>
  <si>
    <t>North Adams Landfill</t>
  </si>
  <si>
    <t>Syncarpha North Adams, LLC</t>
  </si>
  <si>
    <t>Fisher Road Solar</t>
  </si>
  <si>
    <t>Fisher Road Solar I, LLC</t>
  </si>
  <si>
    <t>Cornell Geneva Solar Farm</t>
  </si>
  <si>
    <t>Argos Solar LLC</t>
  </si>
  <si>
    <t>West Groton CHP</t>
  </si>
  <si>
    <t>Vulcraft Solar</t>
  </si>
  <si>
    <t>Coventry Photovoltaic, LLC</t>
  </si>
  <si>
    <t>Skidmore College</t>
  </si>
  <si>
    <t>BA</t>
  </si>
  <si>
    <t>State</t>
  </si>
  <si>
    <t xml:space="preserve"> Facility Name</t>
  </si>
  <si>
    <t xml:space="preserve"> Facility ID (ORISPL)</t>
  </si>
  <si>
    <t xml:space="preserve"> Unit ID</t>
  </si>
  <si>
    <t xml:space="preserve"> Year</t>
  </si>
  <si>
    <t xml:space="preserve"> CO2 (short tons)</t>
  </si>
  <si>
    <t xml:space="preserve"> Heat Input (MMBtu)</t>
  </si>
  <si>
    <t xml:space="preserve"> Unit Type</t>
  </si>
  <si>
    <t>Tanner Street Generation, LLC</t>
  </si>
  <si>
    <t>NAEA Energy Massachusetts LLC</t>
  </si>
  <si>
    <t>Fulton Hydro</t>
  </si>
  <si>
    <t>Fortistar Castleton Power</t>
  </si>
  <si>
    <t>Veolia NA - Municipal &amp; Commercial Business</t>
  </si>
  <si>
    <t>Pittsfield Generating Company, LP</t>
  </si>
  <si>
    <t>Ampersand Chasm Hydro LLC</t>
  </si>
  <si>
    <t>Covanta Niagara I, LLC</t>
  </si>
  <si>
    <t>Central Power Plant</t>
  </si>
  <si>
    <t>State of Rhode Island</t>
  </si>
  <si>
    <t>Rensselaer Generating LLC</t>
  </si>
  <si>
    <t>NYU Luthern Medical Center</t>
  </si>
  <si>
    <t>NYU Langone Health</t>
  </si>
  <si>
    <t>Empire Generating Co LLC</t>
  </si>
  <si>
    <t>Avangrid Renewables LLC</t>
  </si>
  <si>
    <t>Bingham Wind</t>
  </si>
  <si>
    <t>Stephentown Spindle</t>
  </si>
  <si>
    <t>Block Island Wind Farm</t>
  </si>
  <si>
    <t>Deepwater Wind Block Island LLC</t>
  </si>
  <si>
    <t>WS</t>
  </si>
  <si>
    <t>Dunn Paper East Hartford, LLC</t>
  </si>
  <si>
    <t>Ahana Renewables, LLC</t>
  </si>
  <si>
    <t>SunEdison LLC</t>
  </si>
  <si>
    <t>Tesla Inc.</t>
  </si>
  <si>
    <t>Hancock Wind Plant</t>
  </si>
  <si>
    <t>Southbridge Recycling and Disposal Park</t>
  </si>
  <si>
    <t>Ball Mountain Hydro</t>
  </si>
  <si>
    <t>Jericho Power</t>
  </si>
  <si>
    <t>Jericho Power LLC</t>
  </si>
  <si>
    <t>Passadumkeag Windpark LLC</t>
  </si>
  <si>
    <t>Southern Power Co</t>
  </si>
  <si>
    <t>Leavenworth Greenworks LLC</t>
  </si>
  <si>
    <t>WED Coventry 1</t>
  </si>
  <si>
    <t>WED Coventry One, LLC</t>
  </si>
  <si>
    <t>WED Coventry 2</t>
  </si>
  <si>
    <t>WED Coventry Two, LLC</t>
  </si>
  <si>
    <t>WED Coventry 3</t>
  </si>
  <si>
    <t>WED Coventry Three, LLC</t>
  </si>
  <si>
    <t>WED Coventry 4</t>
  </si>
  <si>
    <t>WED Coventry Four, LLC</t>
  </si>
  <si>
    <t>WED Coventry 6</t>
  </si>
  <si>
    <t>WED Coventry Six, LLC</t>
  </si>
  <si>
    <t>Future Generation Wind</t>
  </si>
  <si>
    <t>Jericho Rise Wind Farm LLC</t>
  </si>
  <si>
    <t>Steel Sun</t>
  </si>
  <si>
    <t>BQ Energy LLC</t>
  </si>
  <si>
    <t>RGS-Rutland VNM SREC II Project (MA)</t>
  </si>
  <si>
    <t>Hunt Road Solar</t>
  </si>
  <si>
    <t>Clarkstown Solar LLC</t>
  </si>
  <si>
    <t>Palmer Landfill</t>
  </si>
  <si>
    <t>Syncarpha Bondsville, LLC</t>
  </si>
  <si>
    <t>Onondaga County - Metro Water Board</t>
  </si>
  <si>
    <t>Onondaga County - Oak Orchard WWTP</t>
  </si>
  <si>
    <t>Hewlett-Packard (HP) - Andover, MA</t>
  </si>
  <si>
    <t>UDR Glastonbury Fuel Cell</t>
  </si>
  <si>
    <t>UIL Distributed Resources, LLC</t>
  </si>
  <si>
    <t>Oneida County- DPW</t>
  </si>
  <si>
    <t>Town of Halfmoon</t>
  </si>
  <si>
    <t>BJ's Wholesale Club, Inc- Uxbridge</t>
  </si>
  <si>
    <t>CMEEC - Bozrah</t>
  </si>
  <si>
    <t>Conn Mun Electric Energy Coop</t>
  </si>
  <si>
    <t>Orange County Solar Farm (NY)</t>
  </si>
  <si>
    <t>Onondaga County- Jamesville</t>
  </si>
  <si>
    <t>CED Westfield Solar, LLC</t>
  </si>
  <si>
    <t>Southbridge Solar</t>
  </si>
  <si>
    <t>Sudbury Solar</t>
  </si>
  <si>
    <t>Ecos Energy LLC</t>
  </si>
  <si>
    <t>SJA Solar, LLC</t>
  </si>
  <si>
    <t>Pfizer Groton Fuel Cell</t>
  </si>
  <si>
    <t>Pisgah Mountain Wind</t>
  </si>
  <si>
    <t>Pisgah Mountain, LLC</t>
  </si>
  <si>
    <t>Tompkins Cortland Community College</t>
  </si>
  <si>
    <t>SEC LHNY Solar One, LLC</t>
  </si>
  <si>
    <t>Brookside</t>
  </si>
  <si>
    <t>Calverton</t>
  </si>
  <si>
    <t>Cummins, Inc</t>
  </si>
  <si>
    <t>Houghton</t>
  </si>
  <si>
    <t>Oneida - South</t>
  </si>
  <si>
    <t>Oneida DG Solar, LLC</t>
  </si>
  <si>
    <t>Oneida - West</t>
  </si>
  <si>
    <t>Athens Energy</t>
  </si>
  <si>
    <t>Athens Energy, LLC</t>
  </si>
  <si>
    <t>OT</t>
  </si>
  <si>
    <t>Hardwick-Athol &amp; Eagle Hill</t>
  </si>
  <si>
    <t>SEC CRSD Solar One, LLC</t>
  </si>
  <si>
    <t>Greene County Meter #1</t>
  </si>
  <si>
    <t>Bethlehem - East</t>
  </si>
  <si>
    <t>DG Bethlehem Solar, LLC</t>
  </si>
  <si>
    <t>Bethlehem - West</t>
  </si>
  <si>
    <t>Rail Trail</t>
  </si>
  <si>
    <t>Altus Power America Management, LLC</t>
  </si>
  <si>
    <t>Rising Paper</t>
  </si>
  <si>
    <t>Hampden</t>
  </si>
  <si>
    <t>Little Bay</t>
  </si>
  <si>
    <t>Shirley Water</t>
  </si>
  <si>
    <t>Limerick Road Solar Farm</t>
  </si>
  <si>
    <t>Limerick Road Solar, LLC</t>
  </si>
  <si>
    <t>158th Fighter Wing Solar Farm</t>
  </si>
  <si>
    <t>158th Fighter Wing</t>
  </si>
  <si>
    <t>GMP Solar - Richmond</t>
  </si>
  <si>
    <t>UI RCP Woodbridge FC</t>
  </si>
  <si>
    <t>CMEEC - Rogers Rd Solar</t>
  </si>
  <si>
    <t>Morin Solar 2013 LLC</t>
  </si>
  <si>
    <t>Brookfield Solar 2013 LLC</t>
  </si>
  <si>
    <t>WYM 1250 Palmer LLC</t>
  </si>
  <si>
    <t>Southern Sky Renew Energy Berkley LLC</t>
  </si>
  <si>
    <t>NRG Renew Canal 1 LLC</t>
  </si>
  <si>
    <t>West Brookfield Solar, LLC</t>
  </si>
  <si>
    <t>Belchertown</t>
  </si>
  <si>
    <t>Tannery Road Landfill</t>
  </si>
  <si>
    <t>Tannery Road Solar, LLC</t>
  </si>
  <si>
    <t>Wind Colebrook South</t>
  </si>
  <si>
    <t>Wilmington Solar</t>
  </si>
  <si>
    <t>Meadow Solar</t>
  </si>
  <si>
    <t>Sullivan County - Adult Care Solar</t>
  </si>
  <si>
    <t>Oswego County - Fulton Solar</t>
  </si>
  <si>
    <t>Iron Horse Solar I CSG</t>
  </si>
  <si>
    <t>Iron Horse Solar 1, LLC</t>
  </si>
  <si>
    <t>126 Grove Solar LLC</t>
  </si>
  <si>
    <t>VEC Alburgh Array</t>
  </si>
  <si>
    <t>SoCore Energy LLC</t>
  </si>
  <si>
    <t>Equity Industrial Turbines</t>
  </si>
  <si>
    <t>Bashaw Solar CSG 1, LLC</t>
  </si>
  <si>
    <t>Bashaw Solar 1, LLC</t>
  </si>
  <si>
    <t>Kearsarge Southwick LLC</t>
  </si>
  <si>
    <t>GMP Solar - Hartford</t>
  </si>
  <si>
    <t>GMP Solar - Williston</t>
  </si>
  <si>
    <t>GMP Solar - Williamstown</t>
  </si>
  <si>
    <t>Sutton Solar, LLC</t>
  </si>
  <si>
    <t>Nexamp Peak, LLC</t>
  </si>
  <si>
    <t>Town of Stafford, CT</t>
  </si>
  <si>
    <t>Mt. Tom Solar, LLC</t>
  </si>
  <si>
    <t>Hartford Landfill Solar EGF</t>
  </si>
  <si>
    <t>Materials Innovation Recycling Authority</t>
  </si>
  <si>
    <t>Cold River Road Solar</t>
  </si>
  <si>
    <t>Chocksett Rd Energy Storage Project</t>
  </si>
  <si>
    <t>Sterling Municipal Light Department</t>
  </si>
  <si>
    <t>Onyx Asset Services Group</t>
  </si>
  <si>
    <t>WED Portsmouth One, LLC</t>
  </si>
  <si>
    <t>Musgrave East Solar Farm</t>
  </si>
  <si>
    <t>Artemis Solar LLC</t>
  </si>
  <si>
    <t>Mill Seat Renewable Energy Facility</t>
  </si>
  <si>
    <t>Musgrave West Solar Farm</t>
  </si>
  <si>
    <t>Montefiore - Westchester Square</t>
  </si>
  <si>
    <t>Montefiore-Westchester Square</t>
  </si>
  <si>
    <t>New York Presbyterian Hospital-168th St</t>
  </si>
  <si>
    <t>New York Presbyterian Hospital</t>
  </si>
  <si>
    <t>Harford Solar Farm</t>
  </si>
  <si>
    <t>Laertes Solar LLC</t>
  </si>
  <si>
    <t>Canandaigua Solar Array</t>
  </si>
  <si>
    <t>Syncarpha Freetown</t>
  </si>
  <si>
    <t>Marie's Way Solar I, LLC</t>
  </si>
  <si>
    <t>Nebraska Valley Solar Farm</t>
  </si>
  <si>
    <t>Town of Stowe- (VT)</t>
  </si>
  <si>
    <t>BCC Solar III, LLC</t>
  </si>
  <si>
    <t>Green Island Hydroelectric Station</t>
  </si>
  <si>
    <t>Finger Lakes Solar I</t>
  </si>
  <si>
    <t>Finger Lakes Solar I, LLC</t>
  </si>
  <si>
    <t>433 Purchase Solar NG, LLC</t>
  </si>
  <si>
    <t>NY - Presbyt. Hospital - 525 E 68TH St</t>
  </si>
  <si>
    <t>NY - PRESBYTERIAN HOSPITAL-525 E 68TH ST</t>
  </si>
  <si>
    <t>Old Wardour Solar</t>
  </si>
  <si>
    <t>Shuman Solar</t>
  </si>
  <si>
    <t>Vuelta Solar</t>
  </si>
  <si>
    <t>Grafton PV</t>
  </si>
  <si>
    <t>Barrett PV</t>
  </si>
  <si>
    <t>MDFA Devens-Saratoga</t>
  </si>
  <si>
    <t>Centaurus Solar - MA</t>
  </si>
  <si>
    <t>LSE Centaurus LLC</t>
  </si>
  <si>
    <t>Kearsarge Bellingham PV</t>
  </si>
  <si>
    <t>Kearsarge Bellingham LLC</t>
  </si>
  <si>
    <t>Canis Major Solar Farm</t>
  </si>
  <si>
    <t>LSE Canis Major LLC</t>
  </si>
  <si>
    <t>Canis Minor Solar Farm</t>
  </si>
  <si>
    <t>LSE Canis Minor LLC</t>
  </si>
  <si>
    <t>NYC-HH - CONEY ISLAND HOSPITAL</t>
  </si>
  <si>
    <t>NYC-HH Coney Island Hospital</t>
  </si>
  <si>
    <t>NY Times Daily Production Facility</t>
  </si>
  <si>
    <t>The NY Times Production Facility</t>
  </si>
  <si>
    <t>West Boylston Community Shared Solar</t>
  </si>
  <si>
    <t>Mount Sinai Hospital</t>
  </si>
  <si>
    <t>steam and MWh</t>
  </si>
  <si>
    <t>Although EIA says Potter 2, Units 4 and 5 appear to be included based on MMBtu value.</t>
  </si>
  <si>
    <t>only 1 unit reports CO2</t>
  </si>
  <si>
    <t>behind the meter</t>
  </si>
  <si>
    <t>steam and MWh; industrial</t>
  </si>
  <si>
    <t>plant burns both biomass and fossil</t>
  </si>
  <si>
    <t>burns Wood</t>
  </si>
  <si>
    <t>not shown on 923</t>
  </si>
  <si>
    <t>CHP status is N 923 and STEAM = ELEC MMBTUs</t>
  </si>
  <si>
    <t>Electric Power Annual 2016</t>
  </si>
  <si>
    <t>Table A.3. Carbon Dioxide Uncontrolled Emission Factors</t>
  </si>
  <si>
    <t>Fuel</t>
  </si>
  <si>
    <t>EIA Fuel Code</t>
  </si>
  <si>
    <t xml:space="preserve">
Factor (Kilograms of CO2 Per Million Btu)**</t>
  </si>
  <si>
    <t xml:space="preserve">
Factor (pounds of CO2 Per Million Btu)</t>
  </si>
  <si>
    <t>Notes</t>
  </si>
  <si>
    <t>Bituminous Coal</t>
  </si>
  <si>
    <t>Distillate Fuel Oil</t>
  </si>
  <si>
    <t>Geothermal</t>
  </si>
  <si>
    <t>GEO</t>
  </si>
  <si>
    <t>Jet Fuel</t>
  </si>
  <si>
    <t>Lignite Coal</t>
  </si>
  <si>
    <t>LIG</t>
  </si>
  <si>
    <t>MSW</t>
  </si>
  <si>
    <t>Refined Coal</t>
  </si>
  <si>
    <t>RC</t>
  </si>
  <si>
    <t>Residual Fuel Oil</t>
  </si>
  <si>
    <t>Synthesis Gas Derived from Coal</t>
  </si>
  <si>
    <t>SGC</t>
  </si>
  <si>
    <t>*</t>
  </si>
  <si>
    <t>Factor is based on the fuel source used to produce the synthesis gas</t>
  </si>
  <si>
    <t>Synthesis Gas Derived from Petroleum Coke</t>
  </si>
  <si>
    <t>SGP</t>
  </si>
  <si>
    <t>Subbituminous Coal</t>
  </si>
  <si>
    <t>Tire-Derived Fuel</t>
  </si>
  <si>
    <t>Waste Coal</t>
  </si>
  <si>
    <t>WC</t>
  </si>
  <si>
    <t>Waste Oil</t>
  </si>
  <si>
    <t>Notes:</t>
  </si>
  <si>
    <t>*  Factors for synthesis gas derived from coal and synthesis gas derived from petroleum coke are based on the fuel source used to produce the synthesis gas.</t>
  </si>
  <si>
    <t>** CO2 factors do not vary by combustion system type or boiler firing configuration.</t>
  </si>
  <si>
    <t>Stony Brook Energy Center</t>
  </si>
  <si>
    <t>Newington Energy</t>
  </si>
  <si>
    <t>Penny Lane Gas Turbine</t>
  </si>
  <si>
    <t>Dominion Energy Nuclear Conn Inc</t>
  </si>
  <si>
    <t>Great River Hydro, LLC</t>
  </si>
  <si>
    <t>Helix Ravenswood, LLC</t>
  </si>
  <si>
    <t>Anderson Power Products Division</t>
  </si>
  <si>
    <t>Anderson Power Products</t>
  </si>
  <si>
    <t>Massachusetts Wtr Rauth-Deer I</t>
  </si>
  <si>
    <t>Kings Falls Hydroelectric</t>
  </si>
  <si>
    <t>Sugar River Power LLC</t>
  </si>
  <si>
    <t>Engie North America</t>
  </si>
  <si>
    <t>Kibby Wind Facility</t>
  </si>
  <si>
    <t>Helix Maine Wind Development, LLC</t>
  </si>
  <si>
    <t>Canton Mountain Wind</t>
  </si>
  <si>
    <t>Canton Mountain Wind LLC</t>
  </si>
  <si>
    <t>WED Coventry 5</t>
  </si>
  <si>
    <t>WED Coventry Five, LLC</t>
  </si>
  <si>
    <t>Hadley Solar NG, LLC</t>
  </si>
  <si>
    <t>Fairhaven C CSG</t>
  </si>
  <si>
    <t>West Bridgewater AB CSG</t>
  </si>
  <si>
    <t>Onondaga County- Clearwater</t>
  </si>
  <si>
    <t>Broome County</t>
  </si>
  <si>
    <t>CMEEC - Navy NE Trident</t>
  </si>
  <si>
    <t>Worcester Landfill</t>
  </si>
  <si>
    <t>City of Worcester DPW</t>
  </si>
  <si>
    <t>TRS Fuel Cell</t>
  </si>
  <si>
    <t>TRS Fuel Cell, LLC</t>
  </si>
  <si>
    <t>Shirley Landfill</t>
  </si>
  <si>
    <t>DDR Shoppers World</t>
  </si>
  <si>
    <t>Cedarville CSG</t>
  </si>
  <si>
    <t>Deerfield CSG Solar</t>
  </si>
  <si>
    <t>Iron Horse Solar 4, LLC</t>
  </si>
  <si>
    <t>Town of Lexington Solar</t>
  </si>
  <si>
    <t>Syncarpha Lexington, LLC</t>
  </si>
  <si>
    <t>Jefferson-Lewis BOCES Solar</t>
  </si>
  <si>
    <t>Cypress Creek Renewables</t>
  </si>
  <si>
    <t>Orbit Energy RI</t>
  </si>
  <si>
    <t>Bird Machine Solar Farm</t>
  </si>
  <si>
    <t>Bird Machine Solar Farm, LLC</t>
  </si>
  <si>
    <t>Sutton Solar CSG</t>
  </si>
  <si>
    <t>Nexamp Peak CSG</t>
  </si>
  <si>
    <t>Time Warner Cable - Knowles</t>
  </si>
  <si>
    <t>Northampton Landfill Solar PV</t>
  </si>
  <si>
    <t>Ameresco Glendale Road Solar PV LLC</t>
  </si>
  <si>
    <t>VEC Magee Hill Solar</t>
  </si>
  <si>
    <t>Redbrook Community Solar 1</t>
  </si>
  <si>
    <t>Redbrook Solar 1, LLC</t>
  </si>
  <si>
    <t>Brook Street Solar 1 CSG</t>
  </si>
  <si>
    <t>Brook Street Solar 1, LLC</t>
  </si>
  <si>
    <t>Spring Street Solar 1 CSG</t>
  </si>
  <si>
    <t>Spring Street Solar 1, LLC</t>
  </si>
  <si>
    <t>Bullock Road Solar 1</t>
  </si>
  <si>
    <t>Bullock Road Solar 1, LLC</t>
  </si>
  <si>
    <t>Stafford St Solar 1 CSG</t>
  </si>
  <si>
    <t>Stafford St Solar 1, LLC</t>
  </si>
  <si>
    <t>Stafford St 2 Community Solar</t>
  </si>
  <si>
    <t>Stafford St Solar 2, LLC</t>
  </si>
  <si>
    <t>Stafford St Solar 3 CSG</t>
  </si>
  <si>
    <t>Stafford St Solar 3, LLC</t>
  </si>
  <si>
    <t>Deerfield Wind LLC</t>
  </si>
  <si>
    <t>Canandaigua Westbrook Solar Array</t>
  </si>
  <si>
    <t>BWC Wading River One, Two, Three CSG</t>
  </si>
  <si>
    <t>Ameresco BWC Wading River LLC</t>
  </si>
  <si>
    <t>Elizabeth Mines Solar 1</t>
  </si>
  <si>
    <t>Elizabeth Mines Solar 1, LLC</t>
  </si>
  <si>
    <t>Boston Medical Center CHP Plant</t>
  </si>
  <si>
    <t>Boston Medical Center</t>
  </si>
  <si>
    <t>Farley Road Community Solar</t>
  </si>
  <si>
    <t>Farley Road Solar, LLC</t>
  </si>
  <si>
    <t>Belchertown Renewables Community Solar</t>
  </si>
  <si>
    <t>Belchertown Renewables, LLC</t>
  </si>
  <si>
    <t>Theodore Drive Community Solar</t>
  </si>
  <si>
    <t>Theodore Drive Solar, LLC</t>
  </si>
  <si>
    <t>Upton Community Solar</t>
  </si>
  <si>
    <t>Upton Solar, LLC</t>
  </si>
  <si>
    <t>Pleasantdale Road Community Solar</t>
  </si>
  <si>
    <t>Pleasantdale Road Solar, LLC</t>
  </si>
  <si>
    <t>Hatfield Renewables Community Solar</t>
  </si>
  <si>
    <t>Hatfield Renewables, LLC</t>
  </si>
  <si>
    <t>Peterson Road Solar</t>
  </si>
  <si>
    <t>Peterson Road Solar, LLC</t>
  </si>
  <si>
    <t>Sampson Road Community Solar</t>
  </si>
  <si>
    <t>Sampson Road Solar, LLC</t>
  </si>
  <si>
    <t>Golden Hills Solar</t>
  </si>
  <si>
    <t>Golden Hills Solar, LLC</t>
  </si>
  <si>
    <t>Next Generation Solar Farm</t>
  </si>
  <si>
    <t>Smith &amp; Wesson at Springfield MA PV</t>
  </si>
  <si>
    <t>Cedar Creek PV</t>
  </si>
  <si>
    <t>AES Distributed Energy</t>
  </si>
  <si>
    <t>Northern Westchester Hospital</t>
  </si>
  <si>
    <t>Letchworth Solar Project</t>
  </si>
  <si>
    <t>Ashby Duffy CSG Solar Farm</t>
  </si>
  <si>
    <t>LSE Cassiopeia LLC</t>
  </si>
  <si>
    <t>Town of West Boylston - (MA)</t>
  </si>
  <si>
    <t>IOS - MEW Phase 1</t>
  </si>
  <si>
    <t>IGS ORIX Solar I, LLC</t>
  </si>
  <si>
    <t>SL Babylon</t>
  </si>
  <si>
    <t>SL Babylon, LLC</t>
  </si>
  <si>
    <t>NYU LANGONE HEALTH</t>
  </si>
  <si>
    <t>CED Foster</t>
  </si>
  <si>
    <t>Monroe County Sites A &amp; B</t>
  </si>
  <si>
    <t>Monroe County Sites C, D, &amp; E</t>
  </si>
  <si>
    <t>301 Chestnut Solar NG</t>
  </si>
  <si>
    <t>Weston Landfill Solar</t>
  </si>
  <si>
    <t>Ameresco, Inc - Weston</t>
  </si>
  <si>
    <t>Braintree Landfill Solar</t>
  </si>
  <si>
    <t>Ameresco, Inc - Braintree</t>
  </si>
  <si>
    <t>GELD Solar Farm</t>
  </si>
  <si>
    <t>Ameresco, Inc - GELD</t>
  </si>
  <si>
    <t>Good Samaritan Hospital</t>
  </si>
  <si>
    <t>Falmouth Landfill Solar</t>
  </si>
  <si>
    <t>Woodhull Hospital</t>
  </si>
  <si>
    <t>Town of Foxborough - Landfill (SREC II) CSG</t>
  </si>
  <si>
    <t>Town of Foxborough - Landfill (SREC II)</t>
  </si>
  <si>
    <t>Citizens Agawam Landfill Solar</t>
  </si>
  <si>
    <t>Norton Landfill Solar</t>
  </si>
  <si>
    <t>Tyngsborough Solar</t>
  </si>
  <si>
    <t>CED Chicopee Solar</t>
  </si>
  <si>
    <t>UMASS</t>
  </si>
  <si>
    <t>Camden CSD Solar Array</t>
  </si>
  <si>
    <t>WED Kingstown Solar I, LLC - West</t>
  </si>
  <si>
    <t>WED Kingstown Solar I, LLC</t>
  </si>
  <si>
    <t>WED Stilson Solar</t>
  </si>
  <si>
    <t>WED Stilson Solar, LLC</t>
  </si>
  <si>
    <t>WED Kingstown Solar I - East Array</t>
  </si>
  <si>
    <t>Nautilus Solar Solutions</t>
  </si>
  <si>
    <t>Texon Hydroelectric Project</t>
  </si>
  <si>
    <t>Hitchcock Hydro, LLC</t>
  </si>
  <si>
    <t>Seneca Falls Hydroelectric Project</t>
  </si>
  <si>
    <t>C-S Canal Hydro, LLC</t>
  </si>
  <si>
    <t>Waterloo Hydroelectric Project</t>
  </si>
  <si>
    <t>Sikorsky Aircraft CHP</t>
  </si>
  <si>
    <t>Sikorsky Aircraft Corporation</t>
  </si>
  <si>
    <t>IRE Solar I, LLC</t>
  </si>
  <si>
    <t xml:space="preserve">Scotch Settlement        </t>
  </si>
  <si>
    <t>Madison County</t>
  </si>
  <si>
    <t>Onyx - Pembroke Landfill Solar</t>
  </si>
  <si>
    <t>Barrett Farm Solar - Phase I</t>
  </si>
  <si>
    <t>Solten Plainville 6000, LLC</t>
  </si>
  <si>
    <t>Randolph</t>
  </si>
  <si>
    <t>Solten Randolph 4500, LLC</t>
  </si>
  <si>
    <t>Seneca Nation Cattaraugus Wind Turbine</t>
  </si>
  <si>
    <t>Seneca Nation</t>
  </si>
  <si>
    <t>Lockheed Martin RMS Syracuse</t>
  </si>
  <si>
    <t>East Acres Solar NG, LLC</t>
  </si>
  <si>
    <t>Gore Mountain Solar II</t>
  </si>
  <si>
    <t>Gore Mountain Solar II, LLC</t>
  </si>
  <si>
    <t>HGS Solar I</t>
  </si>
  <si>
    <t>HGS solar I, LLC</t>
  </si>
  <si>
    <t>Syncarpha Hancock I CSG</t>
  </si>
  <si>
    <t>Syncarpha Hancock I, LLC</t>
  </si>
  <si>
    <t>Syncarpha Hancock II CSG</t>
  </si>
  <si>
    <t>Syncarpha Hancock II, LLC</t>
  </si>
  <si>
    <t>Syncarpha Hancock III CSG</t>
  </si>
  <si>
    <t>Syncarpha Hancock III, LLC</t>
  </si>
  <si>
    <t>Syncarpha Still River, LLC</t>
  </si>
  <si>
    <t>City of Rochester Solar</t>
  </si>
  <si>
    <t>IKEA New Haven Rooftop PV &amp;  Fuel Cell</t>
  </si>
  <si>
    <t>IKEA Property Inc</t>
  </si>
  <si>
    <t>Toray Plastic America's CHP Plant</t>
  </si>
  <si>
    <t>Toray Plastics America</t>
  </si>
  <si>
    <t>includes wood</t>
  </si>
  <si>
    <t>https://www.eia.gov/electricity/data/eia923/</t>
  </si>
  <si>
    <t>Biogas</t>
  </si>
  <si>
    <t>Bogas</t>
  </si>
  <si>
    <t>biogas and digester gas</t>
  </si>
  <si>
    <t xml:space="preserve">MMBTU/MWh = </t>
  </si>
  <si>
    <t>Quebec System Mix</t>
  </si>
  <si>
    <t>lbs CO2e</t>
  </si>
  <si>
    <t>[in lb CO2e]</t>
  </si>
  <si>
    <t>New York System Mix</t>
  </si>
  <si>
    <t>Massachusetts Fuels Adding to Total CO2e</t>
  </si>
  <si>
    <t xml:space="preserve">Fuel Types </t>
  </si>
  <si>
    <t>Non Biogenic</t>
  </si>
  <si>
    <t xml:space="preserve">Biogenic </t>
  </si>
  <si>
    <t>Connecticut Fuels Adding to Total CO2e</t>
  </si>
  <si>
    <t>Maine Fuels Adding to Total CO2e</t>
  </si>
  <si>
    <t>New Hampshire Fuels Adding to Total CO2e</t>
  </si>
  <si>
    <t>Rhode Island Fuels Adding to Total CO2e</t>
  </si>
  <si>
    <t>Vermont Fuels Adding to Total CO2e</t>
  </si>
  <si>
    <t>New York Fuels Adding to Total CO2e</t>
  </si>
  <si>
    <t>N/A</t>
  </si>
  <si>
    <t>CT06</t>
  </si>
  <si>
    <t>CT07</t>
  </si>
  <si>
    <t>CPV Towantic Energy Center</t>
  </si>
  <si>
    <t>Salem Harbor Station NGCC</t>
  </si>
  <si>
    <t>Empire Generating Co, LLC</t>
  </si>
  <si>
    <t>Valley Energy Center</t>
  </si>
  <si>
    <t>Manchester Street Station</t>
  </si>
  <si>
    <t>NRG Canal 3 Development LLC</t>
  </si>
  <si>
    <t>Central Rivers Power MA, LLC</t>
  </si>
  <si>
    <t>Central Rivers Power NH, LLC</t>
  </si>
  <si>
    <t>Granite Shore Power</t>
  </si>
  <si>
    <t>Stevens Mills Dam</t>
  </si>
  <si>
    <t>City of Nashua, NH</t>
  </si>
  <si>
    <t>Stored Solar J&amp;WE</t>
  </si>
  <si>
    <t>Hollingworth &amp; Vose Co Center Falls</t>
  </si>
  <si>
    <t>Maine Waste to Energy</t>
  </si>
  <si>
    <t>Milford Power LLC</t>
  </si>
  <si>
    <t>RISEC Operating Services</t>
  </si>
  <si>
    <t>CPV Towantic, LLC</t>
  </si>
  <si>
    <t>CPV Valley Energy Center</t>
  </si>
  <si>
    <t>CPV Valley, LLC</t>
  </si>
  <si>
    <t>Convergent Energy and Power LP</t>
  </si>
  <si>
    <t>CleanCapital</t>
  </si>
  <si>
    <t>Greenbacker Renewable Energy Corporation</t>
  </si>
  <si>
    <t>Town of East Bridgewater CSG</t>
  </si>
  <si>
    <t>Fusion Solar Center LLC</t>
  </si>
  <si>
    <t>Fusion Solar Centre, L.L.C</t>
  </si>
  <si>
    <t>Copenhagen Wind Farm</t>
  </si>
  <si>
    <t>Rockland Solar CSG</t>
  </si>
  <si>
    <t>Sutter Greenworks LLC</t>
  </si>
  <si>
    <t>St. Albans Solar Partners, LLC</t>
  </si>
  <si>
    <t>Shoreham Solar Commons</t>
  </si>
  <si>
    <t>Federal Road Solar 1, LLC CSG</t>
  </si>
  <si>
    <t>BWC Swan Pond River CSG</t>
  </si>
  <si>
    <t>Town of Needham VNEM CSG</t>
  </si>
  <si>
    <t>Williamsburg Solar LLC VNEM CSG</t>
  </si>
  <si>
    <t>Hollingsworth &amp; Vose Co West Groton</t>
  </si>
  <si>
    <t>SJA Solar LLC-Solterra Monastery CSG</t>
  </si>
  <si>
    <t>Groton Fuel Cell 1 LLC</t>
  </si>
  <si>
    <t>Carver MA 1 Community Solar</t>
  </si>
  <si>
    <t>Navisun LLC</t>
  </si>
  <si>
    <t>Wareham MA 1 Community Solar</t>
  </si>
  <si>
    <t>Westport MA 1 Community Solar</t>
  </si>
  <si>
    <t>Westport MA 2 Community Solar</t>
  </si>
  <si>
    <t>Stone Hill Solar CSG</t>
  </si>
  <si>
    <t>Bridgewater Solar CSG</t>
  </si>
  <si>
    <t>Holliston Solar CSG</t>
  </si>
  <si>
    <t>Fall River Solar CSG</t>
  </si>
  <si>
    <t>Curtis Hill Solar CSG</t>
  </si>
  <si>
    <t>CCC Solar Holdings LLC</t>
  </si>
  <si>
    <t>Depot Hill Solar CSG</t>
  </si>
  <si>
    <t>Stafford MS Ground Mount Community Solar</t>
  </si>
  <si>
    <t>Onyx - Lamphear Road CSG</t>
  </si>
  <si>
    <t>Onset East Community Solar Facility</t>
  </si>
  <si>
    <t>Onset West Community Solar Facility</t>
  </si>
  <si>
    <t>Big George PV CSG</t>
  </si>
  <si>
    <t>North Smithfield Solar Power 1</t>
  </si>
  <si>
    <t>Lichtenthal</t>
  </si>
  <si>
    <t>Call Farms 1</t>
  </si>
  <si>
    <t>Call Farms 3</t>
  </si>
  <si>
    <t>Antanavica Solar</t>
  </si>
  <si>
    <t>Town of Rocky Hill PV CSG</t>
  </si>
  <si>
    <t>The Allen Hospital</t>
  </si>
  <si>
    <t>Mount Sinai Beth Israel</t>
  </si>
  <si>
    <t>Anheuser-Busch Baldwinsville</t>
  </si>
  <si>
    <t>Columbia University - Johnson Farms</t>
  </si>
  <si>
    <t>Time Warner Cable Enterprises - Martino</t>
  </si>
  <si>
    <t>Columbia University - Minisink</t>
  </si>
  <si>
    <t>Arkwright Summit Wind Farm LLC</t>
  </si>
  <si>
    <t>Greater New Bedford LFG Utiliz. Facility</t>
  </si>
  <si>
    <t>CommonWealth New Bedford Energy LLC</t>
  </si>
  <si>
    <t>CJ Solar I, LLC</t>
  </si>
  <si>
    <t>Lisbon West</t>
  </si>
  <si>
    <t>COU Solar I, LLC</t>
  </si>
  <si>
    <t>Lisbon East</t>
  </si>
  <si>
    <t>Onyx - Saratoga Springs Landfill Solar CSG</t>
  </si>
  <si>
    <t>Onyx - Brockton Thatcher Landfill Solar CSG</t>
  </si>
  <si>
    <t>Origis Energy USA, Inc</t>
  </si>
  <si>
    <t>Woods Hill Solar</t>
  </si>
  <si>
    <t>Woods Hill Solar, LLC</t>
  </si>
  <si>
    <t>Syncarpha Still River, LLC CSG</t>
  </si>
  <si>
    <t>Town of Otis Wind Energy Project</t>
  </si>
  <si>
    <t>Town of Otis</t>
  </si>
  <si>
    <t>Trinity College Fuel Cell</t>
  </si>
  <si>
    <t>Kearsarge Concord II</t>
  </si>
  <si>
    <t>Kearsarge Concord II LLC</t>
  </si>
  <si>
    <t>Kearsarge Granby</t>
  </si>
  <si>
    <t>Kearsarge Granby LLC</t>
  </si>
  <si>
    <t>Broadalbin</t>
  </si>
  <si>
    <t>Duanesburg</t>
  </si>
  <si>
    <t>Johnstown</t>
  </si>
  <si>
    <t>Solean Solar Project</t>
  </si>
  <si>
    <t>Lincoln Ave Solar Project</t>
  </si>
  <si>
    <t>Blydenburgh Solar Project</t>
  </si>
  <si>
    <t>Holtsville Solar Project</t>
  </si>
  <si>
    <t>Sharon Springs</t>
  </si>
  <si>
    <t>Amsterdam North</t>
  </si>
  <si>
    <t>Amsterdam South</t>
  </si>
  <si>
    <t>Kearsarge Oppenheim CSG</t>
  </si>
  <si>
    <t>Kearsarge Oppenheim LLC</t>
  </si>
  <si>
    <t>Sunlight Beacon</t>
  </si>
  <si>
    <t>Saint Albans Solar</t>
  </si>
  <si>
    <t>Broadalbin-Perth Solar</t>
  </si>
  <si>
    <t>Coolidge Solar 1, LLC</t>
  </si>
  <si>
    <t>Coolidge Solar I, LLC</t>
  </si>
  <si>
    <t>The Bank of New York</t>
  </si>
  <si>
    <t>Brooklyn Hospital Center</t>
  </si>
  <si>
    <t>Saint Catherine of Siena Medical Center</t>
  </si>
  <si>
    <t>Franklin Solar</t>
  </si>
  <si>
    <t>Jefferson Solar</t>
  </si>
  <si>
    <t>Hamilton Solar</t>
  </si>
  <si>
    <t>Adams Solar</t>
  </si>
  <si>
    <t>Enfield Community Solar</t>
  </si>
  <si>
    <t>Baer Road CSG</t>
  </si>
  <si>
    <t>Delaware River Solar, LLC</t>
  </si>
  <si>
    <t>Kingsbrook Jewish Medical Center</t>
  </si>
  <si>
    <t>St Johns Riverside Hospital</t>
  </si>
  <si>
    <t>Wareham Solar PV</t>
  </si>
  <si>
    <t>NSTAR Electric Company</t>
  </si>
  <si>
    <t>East Longmeadow Solar PV</t>
  </si>
  <si>
    <t>Town of Branford</t>
  </si>
  <si>
    <t>Southwick Solar PV</t>
  </si>
  <si>
    <t>Sunderland Solar PV</t>
  </si>
  <si>
    <t>Hatfield Solar PV</t>
  </si>
  <si>
    <t>Montague Site 36-Grosolar</t>
  </si>
  <si>
    <t>East Springfield Solar PV</t>
  </si>
  <si>
    <t>Ludlow Site 72 - Conti</t>
  </si>
  <si>
    <t>WED Green Hill, LLC</t>
  </si>
  <si>
    <t>WED Shun I, LLC</t>
  </si>
  <si>
    <t>WED Shun II, LLC</t>
  </si>
  <si>
    <t>WED Shun III, LLC</t>
  </si>
  <si>
    <t>Minisink Solar 1 LLC</t>
  </si>
  <si>
    <t>Minisink Community Solar 2 LLC</t>
  </si>
  <si>
    <t>Minisink Solar 2 LLC</t>
  </si>
  <si>
    <t>Maimonides Medical Center</t>
  </si>
  <si>
    <t>Hadley 2 Solar, LLC</t>
  </si>
  <si>
    <t>East Bridgewater Solar</t>
  </si>
  <si>
    <t>Solten East Bridgewater 6000, LLC</t>
  </si>
  <si>
    <t>Griffin Road Solar, LLC</t>
  </si>
  <si>
    <t>Ashby Solar, LLC</t>
  </si>
  <si>
    <t>Dudley Solar, LLC</t>
  </si>
  <si>
    <t>Monson Solar, LLC</t>
  </si>
  <si>
    <t>Westminster Renewables, LLC</t>
  </si>
  <si>
    <t>NYC-HH-New Bellevue Hospital</t>
  </si>
  <si>
    <t>Station 9 Energy Storage System</t>
  </si>
  <si>
    <t>Pittsfield 44 - M&amp;W PV</t>
  </si>
  <si>
    <t>Lee Site 31 Solar</t>
  </si>
  <si>
    <t>Plymouth Solar</t>
  </si>
  <si>
    <t>Westchester County Medical Center</t>
  </si>
  <si>
    <t>NYPH-Queens</t>
  </si>
  <si>
    <t>Richmond NMCA</t>
  </si>
  <si>
    <t>Founders Homestead Farms Solar</t>
  </si>
  <si>
    <t>Mattas Farms</t>
  </si>
  <si>
    <t>Mechanicville Hydroelectric Station</t>
  </si>
  <si>
    <t>Dynamic - Walpole</t>
  </si>
  <si>
    <t>Barre Solar III LLC</t>
  </si>
  <si>
    <t>NYP-Lower Manhattan Hospital</t>
  </si>
  <si>
    <t>BWC Origination 18</t>
  </si>
  <si>
    <t>BWC Origination 18, LLC</t>
  </si>
  <si>
    <t>BWC Gibbs Brook</t>
  </si>
  <si>
    <t>BWC Gibbs Brook, LLC</t>
  </si>
  <si>
    <t>BWC Wareham River</t>
  </si>
  <si>
    <t>BWC Wareham River, LLC</t>
  </si>
  <si>
    <t>BWC Harlow Brook</t>
  </si>
  <si>
    <t>BWC Harlow Brook, LLC</t>
  </si>
  <si>
    <t>BWC Pocasset River</t>
  </si>
  <si>
    <t>BWC Pocasset River, LLC</t>
  </si>
  <si>
    <t>Albert Einstein College of Medicine</t>
  </si>
  <si>
    <t>NYP-Hudson Valley Hospital Center</t>
  </si>
  <si>
    <t>Regeneron Pharmaceuticals Inc.</t>
  </si>
  <si>
    <t>Iola Powerhouse &amp; Cogeneration Facility</t>
  </si>
  <si>
    <t>Monroe County (NY)</t>
  </si>
  <si>
    <t>Digital Fairfield</t>
  </si>
  <si>
    <t>Regeneron Tarrytown</t>
  </si>
  <si>
    <t>Winchendon Landfill Solar</t>
  </si>
  <si>
    <t>Kearsarge Johnstown 1 LLC</t>
  </si>
  <si>
    <t>Kearsarge GB</t>
  </si>
  <si>
    <t>Kearsarge GB LLC</t>
  </si>
  <si>
    <t>Kearsarge SKSC1 LLC</t>
  </si>
  <si>
    <t>Kearsarge Uxbridge</t>
  </si>
  <si>
    <t>Kearsarge Uxbridge LLC</t>
  </si>
  <si>
    <t>Kearsarge Johnstown 2 LLC</t>
  </si>
  <si>
    <t>Kearsarge Montague</t>
  </si>
  <si>
    <t>Kearsarge Montague LLC</t>
  </si>
  <si>
    <t>Kearsarge SKSC2 LLC</t>
  </si>
  <si>
    <t>ATT Jericho</t>
  </si>
  <si>
    <t>MER Queens</t>
  </si>
  <si>
    <t>Route 14A CDG Solar North and South LLC</t>
  </si>
  <si>
    <t>Route 14A CDG Solar North and South, LLC</t>
  </si>
  <si>
    <t>Tanglewood Circle Solar 1 LLC</t>
  </si>
  <si>
    <t>CBP Solar</t>
  </si>
  <si>
    <t>EnterSolar</t>
  </si>
  <si>
    <t>Kinder Morgan Fordham</t>
  </si>
  <si>
    <t>ALDI DC 2</t>
  </si>
  <si>
    <t>West Water Street</t>
  </si>
  <si>
    <t>Manchester Community College East</t>
  </si>
  <si>
    <t>Manchester Community College North</t>
  </si>
  <si>
    <t>Washburn Road Solar</t>
  </si>
  <si>
    <t>Ulster County Solar</t>
  </si>
  <si>
    <t>Ulster Solar LLC</t>
  </si>
  <si>
    <t>Franklin Solar Site</t>
  </si>
  <si>
    <t>Helios NY I, LLC</t>
  </si>
  <si>
    <t>Malone Solar Site</t>
  </si>
  <si>
    <t>RIT Henrietta Solar 1, LLC</t>
  </si>
  <si>
    <t>other biomass liquids</t>
  </si>
  <si>
    <t>NOVA SCOTIA</t>
  </si>
  <si>
    <t>Canadian Maritime Provinces</t>
  </si>
  <si>
    <t>CMP</t>
  </si>
  <si>
    <t>Canadian Maritime Provinces (through New Brunswick) Fuels Adding to Total CO2e</t>
  </si>
  <si>
    <t>Canadian Maritime Provinces (through New Brunswick) - Total CO2e</t>
  </si>
  <si>
    <t>exclude mmBtu from CO2 calculations, because Part 75 CO2 used instead</t>
  </si>
  <si>
    <t>Form 923 Heat Input Consumed for Electricity by non-Part 75 units (MMBtu)</t>
  </si>
  <si>
    <t>Form 923 All Heat Input Consumed for Electricity (MMBtu)</t>
  </si>
  <si>
    <t>To calculate CO2</t>
  </si>
  <si>
    <t>To calculate CH4 and N2O</t>
  </si>
  <si>
    <t>CO2e from CO2 from Non-Biogenic Fuels (Non-Part 75 units)</t>
  </si>
  <si>
    <t>CO2e from CO2 from Non-Biogenic Fuels (Part 75 units)</t>
  </si>
  <si>
    <t xml:space="preserve">Diesel </t>
  </si>
  <si>
    <t xml:space="preserve">Natural gas </t>
  </si>
  <si>
    <t>NEW BRUNSWICK</t>
  </si>
  <si>
    <t>From CANADIAN MARITIME PROVINCES</t>
  </si>
  <si>
    <t>IMP (NB)</t>
  </si>
  <si>
    <t>IMP (NS)</t>
  </si>
  <si>
    <t>IMP (PEI)</t>
  </si>
  <si>
    <t xml:space="preserve">TOTAL </t>
  </si>
  <si>
    <t>non-biogenic component of municipal solid waste and trash</t>
  </si>
  <si>
    <t>biogenic component of municipal solid waste and trash</t>
  </si>
  <si>
    <t>biomass and wood/wood waste solids</t>
  </si>
  <si>
    <t>*Form 923 trash split</t>
  </si>
  <si>
    <t>Heat Input from GIS certificates (MMBtu)</t>
  </si>
  <si>
    <t>distillate petroleum and oil</t>
  </si>
  <si>
    <t>From CMP</t>
  </si>
  <si>
    <t>Extra-New England</t>
  </si>
  <si>
    <t>Net</t>
  </si>
  <si>
    <t>The GIS Tables also include electricity generation certificates settled or reserved by a retail seller, state, or municipality  in accordance with a contract (or some other mechanism). .</t>
  </si>
  <si>
    <t>[in lb CO2]</t>
  </si>
  <si>
    <t xml:space="preserve"> - </t>
  </si>
  <si>
    <t xml:space="preserve">  - </t>
  </si>
  <si>
    <t>Canadian Maritime Provinces (through New Brunswick)</t>
  </si>
  <si>
    <t>Fuels that use a common emission factor are combined into a single row where possible: wood and biomass, distillate petroleum and oil, trash and municipal solid waste, biogas and digester gas.</t>
  </si>
  <si>
    <t>New York Power Authority (NYPA) MWh from Niagara Falls to Massachusetts Municipal Retail Sellers</t>
  </si>
  <si>
    <t>New Brunswick System Mix</t>
  </si>
  <si>
    <t>Connecticut - CO2e from MSS MMBTUs that stay in CT</t>
  </si>
  <si>
    <t>Massachusetts - CO2e from MSS MMBTUs that stay in MA</t>
  </si>
  <si>
    <t>Maine - CO2e from MSS MMBTUs that stay in ME</t>
  </si>
  <si>
    <t>New Hampshire - CO2e from MSS MMBTUs that stay in NH</t>
  </si>
  <si>
    <t>from GIS Transfers tab</t>
  </si>
  <si>
    <t>Rhode Island - CO2e from MSS MMBTUs that stay in RI</t>
  </si>
  <si>
    <t>Vermont - CO2e from MSS MMBTUs that stay in VT</t>
  </si>
  <si>
    <t>ISO-MSS Certificates Into State</t>
  </si>
  <si>
    <t>ISO-MSS Certificates Out of State</t>
  </si>
  <si>
    <t>Into State - MSS Meter (MMBtu)</t>
  </si>
  <si>
    <t>Into State - NON Meter (MMBtu)</t>
  </si>
  <si>
    <t>Into State - IMP Meter (MMBtu)2</t>
  </si>
  <si>
    <t>Out of State -
MSS Meter 
(MMBtu)</t>
  </si>
  <si>
    <t>Net Heat Input Out of State from MSS Meters</t>
  </si>
  <si>
    <t>Net Heat Input from all GIS certificates (MMBtu)</t>
  </si>
  <si>
    <t>Out of State -
IMP Meter 
(MMBtu)</t>
  </si>
  <si>
    <t>Out of Province
IMP Meter 
(MMBtu)</t>
  </si>
  <si>
    <t xml:space="preserve">  -</t>
  </si>
  <si>
    <t>MA Share of Exported GHG Emissions (lb)</t>
  </si>
  <si>
    <t>MMBTUs from MSS generation that stay in Rhode Island</t>
  </si>
  <si>
    <t>MMBTUs from MSS generation that stay in New Hampshire</t>
  </si>
  <si>
    <t>MMBTUs from MSS generation that stay in Maine</t>
  </si>
  <si>
    <t>MMBTUs from MSS generation that stay in Massachusetts</t>
  </si>
  <si>
    <t>MMBTUs from MSS generation that stay in Connecticut</t>
  </si>
  <si>
    <t>MMBTUs from MSS generation that stay in Vermont</t>
  </si>
  <si>
    <t>GIS Transfers (Net) to and from State</t>
  </si>
  <si>
    <t>State Generation</t>
  </si>
  <si>
    <t>Adjusts:</t>
  </si>
  <si>
    <t>Data Source:</t>
  </si>
  <si>
    <t>Generation</t>
  </si>
  <si>
    <t>GIS</t>
  </si>
  <si>
    <t>worksheet link from tab:</t>
  </si>
  <si>
    <t>Certificates Settling in State</t>
  </si>
  <si>
    <t>Certificates Settling Out of State</t>
  </si>
  <si>
    <t>Net Generation from Certificates</t>
  </si>
  <si>
    <t>Setlled &amp; Reserved GIS certificates removed</t>
  </si>
  <si>
    <t>Generation Imported into ISO-NE</t>
  </si>
  <si>
    <t>State &amp; Province Generation</t>
  </si>
  <si>
    <t>Column C data</t>
  </si>
  <si>
    <t>this tab</t>
  </si>
  <si>
    <t>Generation CO2e</t>
  </si>
  <si>
    <t>GIS CO2e</t>
  </si>
  <si>
    <t>Certificates Settling in States</t>
  </si>
  <si>
    <t>Certificates Settling Out of States</t>
  </si>
  <si>
    <t>GENERATION &amp; NEPOOL-GIS CERTIFICATE TABLE:</t>
  </si>
  <si>
    <t>State and Province emissons associated with GIS</t>
  </si>
  <si>
    <t>state, province and region import emissions ['Imported Emissions' tab]</t>
  </si>
  <si>
    <t>state and province emissions ['Imported Emissions' tab]</t>
  </si>
  <si>
    <t>emissions exported from New England States</t>
  </si>
  <si>
    <t xml:space="preserve">emissions exported from New England States </t>
  </si>
  <si>
    <t>GIS emissions associated with System Mix from NY, NB and Q [GIS CO2e tab]</t>
  </si>
  <si>
    <t>specifically:</t>
  </si>
  <si>
    <t>GIS Removed-From-State</t>
  </si>
  <si>
    <t>Emissions (lbs CO2e) from:</t>
  </si>
  <si>
    <t>Columns C (generation) and E and F (GIS MSS)</t>
  </si>
  <si>
    <t>Biogas and Digester gas has been assigned the same heat rate as Landfill gas.</t>
  </si>
  <si>
    <t>Total ISO-NON Generation</t>
  </si>
  <si>
    <t>The values in the Heat Rate Table are the weighted state- and fuel-specific average heat rates for this year, as calculated on the 'EIA Form 923' tab.</t>
  </si>
  <si>
    <t>HEAT RATE TABLE: Weighted state- and fuel-specific average heat rates that are determined on 'EIA Form 923' tab and used to calculate MMBTUs, by fuel type, in the MMBTU TABLE below (blue and green columns).</t>
  </si>
  <si>
    <t>EMISSIONS TABLE:</t>
  </si>
  <si>
    <t xml:space="preserve">Northern Maine ISA (NMISA) (MWh) generation </t>
  </si>
  <si>
    <t>New Brunswick (MWh)</t>
  </si>
  <si>
    <t>Quebec (MWh)</t>
  </si>
  <si>
    <t>Statistics Canada</t>
  </si>
  <si>
    <t>https://www150.statcan.gc.ca/t1/tbl1/en/tv.action?pid=2510002001&amp;pickMembers%5B0%5D=1.1&amp;pickMembers%5B1%5D=3.1</t>
  </si>
  <si>
    <t>GENERATION, LOAD, AND IMPORTS INTO ISO-NE</t>
  </si>
  <si>
    <t>Generation Data outside ISO New England</t>
  </si>
  <si>
    <t>ISO-NE (MSS and IMP)</t>
  </si>
  <si>
    <t>NE-ISO, NY-ISO, Statistics Canada</t>
  </si>
  <si>
    <t>Generation Emissions Tables
Column B of</t>
  </si>
  <si>
    <t>Net Transferred Emissions Tables
Column B of</t>
  </si>
  <si>
    <t>MSS GIS certificates</t>
  </si>
  <si>
    <t xml:space="preserve">MSS, NON &amp; IMP GIS certificates </t>
  </si>
  <si>
    <t>MSS Stay-In-State Emissions
Column B of</t>
  </si>
  <si>
    <t>Generation, Load &amp; Import Data from ISO New England</t>
  </si>
  <si>
    <t xml:space="preserve">Statistics Canada </t>
  </si>
  <si>
    <t>Table 25-10-0020-01 Electric Power, annual generation by class of producer</t>
  </si>
  <si>
    <t>Certificates Settling Out of Province</t>
  </si>
  <si>
    <t>Certificates Settling Out of States/Province</t>
  </si>
  <si>
    <t>state, province and region 
load and generation</t>
  </si>
  <si>
    <t>state, province and region 
generation</t>
  </si>
  <si>
    <t>Net GIS Transfers to and from State</t>
  </si>
  <si>
    <t>MA Import Need [Column H] and State/Province Net Export amounts</t>
  </si>
  <si>
    <t>Exported GHG Emissions from remaining New England states emissions</t>
  </si>
  <si>
    <t>to Determine:
[on Imported Emissions tab]</t>
  </si>
  <si>
    <t>emissions imported into MA [Column R]</t>
  </si>
  <si>
    <t xml:space="preserve">GIS </t>
  </si>
  <si>
    <t>GIS Stay-In-State</t>
  </si>
  <si>
    <t>GIS State/Province Tables</t>
  </si>
  <si>
    <t>GIS Summary Table</t>
  </si>
  <si>
    <t>MWh from:</t>
  </si>
  <si>
    <r>
      <rPr>
        <b/>
        <u/>
        <sz val="12"/>
        <rFont val="Arial"/>
        <family val="2"/>
      </rPr>
      <t>GENERATION EMISSIONS TABLES</t>
    </r>
    <r>
      <rPr>
        <b/>
        <sz val="12"/>
        <rFont val="Arial"/>
        <family val="2"/>
      </rPr>
      <t xml:space="preserve">:  CALCULATE CO2e EMISSIONS FROM ELECTRICITY GENERATION IN EACH STATE OR PROVINCE </t>
    </r>
  </si>
  <si>
    <t>Generation CO2e emissions from these tables are summarized in Column C of the 'State &amp; Province Summary' tab.</t>
  </si>
  <si>
    <t>Emissions in the Net Transfer table are used to adjust each state and province's emissions.</t>
  </si>
  <si>
    <t>The MMBTU values calculated in Column Q are from the GIS tables and the Heat Rate table on the 'GIS' tab as these values are NOT included in the 'GIS' tab's MMBTU Tables.</t>
  </si>
  <si>
    <t>Generation Load Imports</t>
  </si>
  <si>
    <t>Column E consolidates MMBTUs from GIS certificates leaving a state or province;  MSS data for each NE-ISO state, and IMP data for states and provinces outside ISO-NE.</t>
  </si>
  <si>
    <t>The NON MMBTUs do not need to be subtracted from the generating state since emissions from these units they were not originally included in the 923 or ISO data.</t>
  </si>
  <si>
    <t>Columns B, C, and D consolidate MMBTUs from each NE-ISO meter type (MSS, IMP, and NON) where GIS certificates are settling in a state or province.</t>
  </si>
  <si>
    <t>Together, they allow GIS certificates that are settled or reserved in a state to be treated - from an emissions and load standpoint - as if they were generated in that state.</t>
  </si>
  <si>
    <t>The values in the GIS Tables are a summary of each state's RPS-eligible electricity generation certificates that settled in a retail seller's account or are reserved, by fuel and by state where it settled.</t>
  </si>
  <si>
    <t>Values from the Heat Rate Table and the GIS Tables are combined to give the MMBTU values in the MMBTU Tables.</t>
  </si>
  <si>
    <t>These tables calculate CO2e from GIS certificates from emitting fuels, allowing GIS certificates that are settled or reserved in a state to be treated - from an emissions and load standpoint - as if they were generated in that state.</t>
  </si>
  <si>
    <t>CONSOLIDATED GIS CERTIFICATE HEAT INPUT (MMBTU) TABLES FOR STATES AND PROVINCES</t>
  </si>
  <si>
    <t>MMBTUs from the NON-ISO meters (blue columns) are added to the state that the certificate has settled or been reserved in, but are not subtracted from the generating state since these MWh and their emissions were not included in the 'EIA Form 923' or 'ISO' tabs.</t>
  </si>
  <si>
    <t xml:space="preserve">The MMBTU values from the 'GIS Heat Input' tab are then turned into biogenic and non-biogenic CO2e values on the 'GIS CO2e' tab. </t>
  </si>
  <si>
    <t>The ISO-MSS GIS certificates that settle within the same state they were generated in (grey column in the GIS Tables) are converted into MMBTU values on the 'GIS CO2e' tab, using the Heat Rate Table below.</t>
  </si>
  <si>
    <t>These biogenic and non-biogenic CO2e net totals are then gathered into the CO2e Emissions Summary Table on the 'State &amp; Province Summary' tab, and added to each state's emissions on the 'Imported Emissions' tab.</t>
  </si>
  <si>
    <t>Each state's net generation from certificates is then added to its generation, with ISO-NON generation added to its load totals, to adjust for GIS certificate transfers on the 'Imprted Emissions' tab.</t>
  </si>
  <si>
    <t>In this way, emissions and MWh from each GIS certificate are transferred from the state where they were generated to the state where the certificate settled or was reserved.</t>
  </si>
  <si>
    <t>In the case of a NON-ISO certificate, one MWh is also added to the load of the state where the certificate settled or is reserved.</t>
  </si>
  <si>
    <t>The grey rows show fuels that are either non-emitting or for which no RPS-eligible electricity generating certificates were transferred out of state during this year.</t>
  </si>
  <si>
    <t>The MMBTU values are assigned by EIA fuel code to the 'GIS CO2e' tab.</t>
  </si>
  <si>
    <t>MMBTU TABLES: MMBTUs for emitting fuels types of electricity generating GIS certificates that have settled or been reserved out-of-state.</t>
  </si>
  <si>
    <t>For the Maine Table, the green column includes certificates from both ISO-MSS and ISO-IMP meters (for portions of Maine not in the NE-ISO control area).</t>
  </si>
  <si>
    <t>For the New York, Quebec and Canadian Maritime Provinces Tables, the green column only shows certificates from ISO-IMP meters as all these areas are outside of the NE-ISO control area.</t>
  </si>
  <si>
    <t xml:space="preserve">The fuel-specific MMBTU values in each row are aggragated on the 'GIS Heat Input' tab and converted to CO2e values on the 'GIS CO2e' tab. </t>
  </si>
  <si>
    <t>These CO2e values are summarized in Column D of the the Emissions Summary Table on the 'State &amp; Province Summary' tab.</t>
  </si>
  <si>
    <t>No MMBTUs are shown (in the green and blue columns) for non-emitting certificates that are settled or reserved out of state, since non-emitting certificates have no emissions.</t>
  </si>
  <si>
    <t xml:space="preserve">The certificates may be either RPS-eligible electricity generation certificates or electricity generation certificates settled or reserved by a retail seller, state, or municipality  in accordance with a contract  (or some other mechanism). </t>
  </si>
  <si>
    <t>Certificates that settle or are reserved in the same state they were generated in are in the grey columns. (Certificates that do not settle in any particular state are not counted.)</t>
  </si>
  <si>
    <t>Because a portion of Maine is outside of NE-ISO, Maine's generation certificates come from ISO-IMP meters in addition to ISO-MSS and ISO-NON meters.</t>
  </si>
  <si>
    <t>For the New York, Quebec and Canadian Maritime Province Tables, all certificates are from ISO-IMP meters as these areas are outside of the NE-ISO control area.</t>
  </si>
  <si>
    <t>The TOTAL columns are the sum of the ISO-MSS and ISO-NON certificates (and also ISO-IMP certificates in Maine, NY, Canadian Maritime Provinces and Quebec).</t>
  </si>
  <si>
    <t>Some non-RPS eligible ISO-NON electricity generation certificates may have been included since there are very few of them and they seem to be primarily new units that often appear as RPS-eligible in a later quarter.</t>
  </si>
  <si>
    <t>Because the emissions from ISO-NON generation (blue columns in the MMBTU tables) are ultimately added to the state in which the certificate has settled on the 'Imported Emissions' tab, we must also account for the associated generation and load.</t>
  </si>
  <si>
    <t>GIS TABLES</t>
  </si>
  <si>
    <t>MA Electric Load including MA behind-the-meter GIS certificates (MWh)</t>
  </si>
  <si>
    <t>Non-Biogenic GHG Emissions from Electricity Generation including MA net GIS certificate emissions (CO2e lb)</t>
  </si>
  <si>
    <t>MA Electricity Imports after accounting for GIS certificates [Gen-Load] (MWh)</t>
  </si>
  <si>
    <t>Total of State/Region Shortfalls after accounting for GIS certificates [incl. NY, CMP, Q] (MWh)</t>
  </si>
  <si>
    <t>GHG Emissions Exported to MA from Other NE States (excluding emissions from GIS certificates) (lb)</t>
  </si>
  <si>
    <t>GHG Emissions Exported to MA from NY (excluding emissions from GIS certificates) (lb)</t>
  </si>
  <si>
    <t>GHG Emissions Exported to MA from Canadian Maritime Provinces and Quebec (excluding emissions from GIS certificates) (lb)</t>
  </si>
  <si>
    <t>GHG Emissions Exported to MA from Outside NE (excluding emissions from GIS certificates) (lb)</t>
  </si>
  <si>
    <t>Total Non-Biogenic Emissions from Electricity Exported to MA (excluding emissions from GIS certificates) (lb)</t>
  </si>
  <si>
    <t>MA Total Emissions from Electricity Consumption including emissions from MA net GIS certificates (lb)</t>
  </si>
  <si>
    <t>MA-Based Non-Biogenic GHG Emission Rate after accounting for GIS certificates (lb/MWh)</t>
  </si>
  <si>
    <r>
      <t xml:space="preserve">The </t>
    </r>
    <r>
      <rPr>
        <b/>
        <sz val="10"/>
        <rFont val="Arial"/>
        <family val="2"/>
      </rPr>
      <t xml:space="preserve">Emissions Table </t>
    </r>
    <r>
      <rPr>
        <sz val="10"/>
        <rFont val="Arial"/>
        <family val="2"/>
      </rPr>
      <t>consolidates emissions data from the 'Generation CO2e' tab and the 'GIS CO2e' tab; the emissions data are used in calculations on this tab and on the 'Imported Emissions' tab.</t>
    </r>
  </si>
  <si>
    <r>
      <t xml:space="preserve">The </t>
    </r>
    <r>
      <rPr>
        <b/>
        <sz val="10"/>
        <rFont val="Arial"/>
        <family val="2"/>
      </rPr>
      <t>Generation and NEPOOL-GIS Certificates Table</t>
    </r>
    <r>
      <rPr>
        <sz val="10"/>
        <rFont val="Arial"/>
        <family val="2"/>
      </rPr>
      <t xml:space="preserve"> consolidates MWh data from the 'Generation Load Imports' tab and the 'GIS' tab; MWh data are used in calculations on this tab and on the 'Imported Emissions' tab.</t>
    </r>
  </si>
  <si>
    <t>EMISSION RATE TABLE (lbs CO2e/MWh):</t>
  </si>
  <si>
    <t>System Mix Emission Rates</t>
  </si>
  <si>
    <t>State Export Emission Rate [Column I, this tab]</t>
  </si>
  <si>
    <t>MA Electric Load Including MA behind-the-meter GIS certificates and Pumping (MWh)</t>
  </si>
  <si>
    <t>Biogenic CO2 Emissions from Electricity Generation including MA net GIS certificate emissions (lb)</t>
  </si>
  <si>
    <t>Biogenic CO2 Emissions Exported to MA from Other NE States (excluding emissions from GIS certificates) (lb)</t>
  </si>
  <si>
    <t>Biogenic CO2 Emissions Exported to MA from NY (excluding emissions from GIS certificates) (lb)</t>
  </si>
  <si>
    <t>Biogenic CO2 Emissions Exported to MA from Canadian Maritime Provinces and Quebec (excluding emissions from GIS certificates) (lb)</t>
  </si>
  <si>
    <t>Total Biogenic CO2 Emissions Exported to MA from Outside NE excluding emissions from GIS certificates)  (lb)</t>
  </si>
  <si>
    <t>Total Biogenic CO2 Emissions from Electricity Exported to MA (excluding emissions from GIS certificates) (lb)</t>
  </si>
  <si>
    <t>MA-Based Biogenic CO2 Emission Rate after accounting for GIS certificates (lb/MWh)</t>
  </si>
  <si>
    <t>Emissions in the two ISO-MSS tables are used to calculate each ISO-NE state's exported emission rate. ISO-NON data is not included because the generation emissions they are adjusting do not usually include emissions from ISO-NON units.</t>
  </si>
  <si>
    <t>New York, New Brunswick and Quebec System Mix certificates that settle in a state are included as a 'fuel type'  in these tables. Emissions are calculated on the 'GIS CO2e' tab using an emission rate from the 'State &amp; Provinces Summary Tables' tab.</t>
  </si>
  <si>
    <t>No MMBTUs are shown (in the green and blue columns) for System Mix certificates that are settled or reserved in a state since these emissions are calculated directly from a lb CO2e/MWh emission rate.</t>
  </si>
  <si>
    <t>The certificates for New York, New Brunswick and Quebec System Mix fuel types from the GIS Tables are converted into non-biogenic and biogenic CO2e emissions on the 'GIS CO2e' tab using lb CO2e/MWh emission rates (calculated on the 'State &amp; Province Summary' tab).</t>
  </si>
  <si>
    <t>Electric Generation including net GIS certificates (MWh)</t>
  </si>
  <si>
    <t>Electric Load including behind-the-meter GIS certificates (MWh)</t>
  </si>
  <si>
    <t>Electric Load Including behind-the-meter GIS certificates and Pumping (MWh)</t>
  </si>
  <si>
    <t>Net Export after accounting for GIS certificates (MWh)</t>
  </si>
  <si>
    <t>GHG Emissions from Electricity including net GIS certificate emissions (lb)</t>
  </si>
  <si>
    <t>Exported GHG Emissions excluding GIS certificates (lb)</t>
  </si>
  <si>
    <t>Exports into NE minus Imports from NE including GIS certificates (MWh)</t>
  </si>
  <si>
    <t>Net Exports into NE including GIS certificates (MWh)</t>
  </si>
  <si>
    <t>GHG Emissions from Electricity including GIS certificate emissions (lb)</t>
  </si>
  <si>
    <t>Exported GHG Emissions exclduing GIS certificates (lb)</t>
  </si>
  <si>
    <t>Exported GHG Emissions after accounting for GIS certificates (lb)</t>
  </si>
  <si>
    <t>Total NE Generation [except N. ME] including NE GIS certificates (MWh)</t>
  </si>
  <si>
    <t>NE Load [except N. ME]  including NE behind-the-meter GIS certificates (MWh)</t>
  </si>
  <si>
    <t>Total NE Load including NE behind-the-meter-GIS certificates (MWh)</t>
  </si>
  <si>
    <t>NE GHG Emissions Associated with Load  including NE GIS certificate emissions (lb)</t>
  </si>
  <si>
    <t>Regional Non-Biogenic GHG Emission Factor after accounting for NE GIS certificates (lb/MWh)</t>
  </si>
  <si>
    <t>Regional Non-Biogenic GHG Emission Factor  after accounting for NE GIS certificates (lb/MWh)</t>
  </si>
  <si>
    <r>
      <rPr>
        <i/>
        <u/>
        <sz val="10"/>
        <rFont val="Arial"/>
        <family val="2"/>
      </rPr>
      <t>NON Generation from State</t>
    </r>
    <r>
      <rPr>
        <sz val="10"/>
        <rFont val="Arial"/>
        <family val="2"/>
      </rPr>
      <t xml:space="preserve">
MSS, NON, IMP imported into State
MSS, NON, IMP exported out of State</t>
    </r>
  </si>
  <si>
    <t>State Emission Rates for Exported Emissions (set to zero if MSS emissions exceed generation emissions)</t>
  </si>
  <si>
    <t>emission exported from New England states</t>
  </si>
  <si>
    <r>
      <t xml:space="preserve">The </t>
    </r>
    <r>
      <rPr>
        <b/>
        <sz val="10"/>
        <rFont val="Arial"/>
        <family val="2"/>
      </rPr>
      <t xml:space="preserve">Emission Rate Table </t>
    </r>
    <r>
      <rPr>
        <sz val="10"/>
        <rFont val="Arial"/>
        <family val="2"/>
      </rPr>
      <t>uses data from the Emissions Table and the Generation and NEPOOL-GIS Certificates Table; the rates are used in calculations on the 'GIS CO2e' tab and on the 'Imported Emissions' tab.</t>
    </r>
  </si>
  <si>
    <t>The tables on this tab consolidate the Heat Input data from GIS certificates from emitting fuel types on the 'GIS' tab, by fuel type.</t>
  </si>
  <si>
    <t>THIS TAB CONSISTS OF THREE KINDS OF TABLES: Heat Rate Table [A33:K53], MMBTU Tables [A63:M289], and GIS Tables [P65:AQ300].</t>
  </si>
  <si>
    <t>NON-ISO generation is often 'distibuted' or 'behind-the-meter' generation whose MWh are not accounted for in NE-ISO's annual load and generation reports, and therefore are not included in the 'Generation Load Imports' tab.</t>
  </si>
  <si>
    <t>Distributed generation comes from the commercial, industrial or residential sectors, rather than the electricity sector, so the emissions from this generation are also not included data sources for the 'Generation CO2e'  tab.</t>
  </si>
  <si>
    <t>MWh from the NON-ISO meters are not subtracted from the generating state's generation or emissions since neither the MWh, nor the emissions, were included in the ISO generation or the generation CO2e.</t>
  </si>
  <si>
    <t>MWh from the NON-ISO meters are added to the generation for the state where they settled, and to the load for the state that generated them.</t>
  </si>
  <si>
    <t>Connecticut - CO2e from MSS MMBTUs that settle out of CT</t>
  </si>
  <si>
    <t>New Hampshire - CO2e from MSS MMBTUs that settle out of NH</t>
  </si>
  <si>
    <t>Maine - CO2e from MSS MMBTUs that settle out of ME</t>
  </si>
  <si>
    <t>Massachusetts - CO2e from MSS MMBTUs that settle out of MA</t>
  </si>
  <si>
    <t>Rhode Island - CO2e from MSS MMBTUs that settle out of RI</t>
  </si>
  <si>
    <t>Vermont - CO2e from MSS MMBTUs that settle out of VT</t>
  </si>
  <si>
    <t>MSS Removed-from-State Emissions
Column B of</t>
  </si>
  <si>
    <r>
      <rPr>
        <b/>
        <u/>
        <sz val="12"/>
        <rFont val="Arial"/>
        <family val="2"/>
      </rPr>
      <t>NET TRANSFER GIS EMISSIONS [A14 through N164]</t>
    </r>
    <r>
      <rPr>
        <sz val="12"/>
        <rFont val="Arial"/>
        <family val="2"/>
      </rPr>
      <t xml:space="preserve">: </t>
    </r>
  </si>
  <si>
    <t>MMBTU values from emitting fuels for the ISO-MSS Settle-In-State tables are calculated on this tab in Column Q.</t>
  </si>
  <si>
    <t xml:space="preserve">The MMBTU values from Columns E and H of the 'GIS Heat Input' tab are converted into biogenic and non-biogenic CO2e values on the 'GIS CO2e' tab. </t>
  </si>
  <si>
    <t>The MSS MMBTU value from Column E is then used in the determination of the ISO-NE state's exported emissions.</t>
  </si>
  <si>
    <t>MSS Settle In State</t>
  </si>
  <si>
    <t xml:space="preserve">MSS Settle Out of State </t>
  </si>
  <si>
    <t xml:space="preserve">NMISA Generation (MWh) </t>
  </si>
  <si>
    <t xml:space="preserve">ISO ME Generation (MWh) </t>
  </si>
  <si>
    <t xml:space="preserve">Total ME Generation (MWh) </t>
  </si>
  <si>
    <t>Northern Maine Independent System Administrator (NMISA)</t>
  </si>
  <si>
    <r>
      <rPr>
        <sz val="11"/>
        <color indexed="8"/>
        <rFont val="Arial"/>
        <family val="2"/>
      </rPr>
      <t>Using the dropdown list in</t>
    </r>
    <r>
      <rPr>
        <b/>
        <sz val="11"/>
        <color indexed="53"/>
        <rFont val="Arial"/>
        <family val="2"/>
      </rPr>
      <t xml:space="preserve"> orange</t>
    </r>
    <r>
      <rPr>
        <sz val="11"/>
        <color indexed="8"/>
        <rFont val="Arial"/>
        <family val="2"/>
      </rPr>
      <t>, select</t>
    </r>
    <r>
      <rPr>
        <sz val="11"/>
        <rFont val="Arial"/>
        <family val="2"/>
      </rPr>
      <t xml:space="preserve"> the IPCC report whose Global Warming Potentials you would like to use. Do not edit the </t>
    </r>
    <r>
      <rPr>
        <b/>
        <sz val="11"/>
        <color indexed="55"/>
        <rFont val="Arial"/>
        <family val="2"/>
      </rPr>
      <t>gray</t>
    </r>
    <r>
      <rPr>
        <sz val="11"/>
        <rFont val="Arial"/>
        <family val="2"/>
      </rPr>
      <t xml:space="preserve"> cells.</t>
    </r>
  </si>
  <si>
    <t>WEIGHTED AVG HEAT RATE
(used in Heat Rate Table on 'GIS' tab)</t>
  </si>
  <si>
    <t>MMBTUs from ISO-MSS and ISO-IMP meters (green columns) are then subtracted from the generating state and added to the state the certificate has settled or been reserved in on the 'GIS Heat Input' tab.</t>
  </si>
  <si>
    <t>MMBTUs for certificates that settle or are reserved in-state (grey columns) are not calculated  in these tables since they have no impact on certificate transfer emissions.</t>
  </si>
  <si>
    <t>GIS Tables: A summary of the GIS electricity generation certificates, by NE-ISO state and fuel type, that have settled, or been reserved, in a retail seller's account this year.</t>
  </si>
  <si>
    <t>MWh associated with the Massachusetts municipal retail sellers' contracts for hydropower from Niagara Falls (NYPA), for which there currently are no unit specific certificates, are entered in Cell Q53 below and included in the summary table but not in the individual state tables below.</t>
  </si>
  <si>
    <t>GIS SUMMARY TABLE</t>
  </si>
  <si>
    <t>The State specific GIS tables are gathered into a GIS Summary Table below which totals the MWh from settled and reserved certificates that are imported into and exported out of each state or province.</t>
  </si>
  <si>
    <t>The GIS Summary Table also totals each state's NON-ISO electricity generation, and the ISO-MSS power that remains in the state it was generated in as well as the ISO-MSS power that leaves a state.</t>
  </si>
  <si>
    <t xml:space="preserve">The GIS certificates in the GIS Summary Table below are included in the Generation &amp; NEPOOL-GIS Table on the 'States &amp; Provinces Summary' tab. </t>
  </si>
  <si>
    <t>The total number of emitting and non-emitting MWhs from certificates that settle or are reserved into each state are found in the state-specific certificate tables in Column P, with the data gathered into a GIS Summary Table at the bottom.</t>
  </si>
  <si>
    <t>The GIS Summary Table totals the MWh from settled and reserved certificates that are imported into and exported out of each state; it also totals each state's NON-ISO generation, the ISO-MSS power that remains in the state it was generated in, and the ISO-MSS power that leaves a state.</t>
  </si>
  <si>
    <t>The GIS Summary Table data is also shown in the Generation and NEPOOL-GIS Certificate Table on the 'State &amp; Province Summary' tab, where each state's net certificate generation is calculated by subtracting its exports from its imports and adding in its adjusted NON-ISO generation.</t>
  </si>
  <si>
    <t>MWh Value is entered above [Cell Q52] and then added to MA GIS certificate Imports Summary [Cell V296] and NY GIS certificates Exported Summary data [Cell AK297] below.</t>
  </si>
  <si>
    <t xml:space="preserve">This table calculates CO2e from the net GIS certificates (ISO-MSS, ISO-NON and ISO-IMP) from Column H of the 'GIS Heat Input' tab that settle into each state or province. </t>
  </si>
  <si>
    <t>The calculation uses GWPs and fuel-specific emissions factors from the 'GWPs &amp; Fuel EFs' tab, and State- and Province-specific System Mix emissions factors from the 'State &amp; Province Summary' tab.</t>
  </si>
  <si>
    <t>Net CO2e emissions from this table are summarized in Column D of the 'State &amp; Province Summary' tab.</t>
  </si>
  <si>
    <t>This table calculates CO2e from GIS ISO-MSS certificates from Column E of the 'GIS Heat Input' tab that settle out of each state. Emissions are calculated from GWPs and fuel-specific emissions factors from the 'GWPs &amp; Fuel EFs' tab.</t>
  </si>
  <si>
    <t>CO2e emissions from this table are summarized in Column F of the 'State &amp; Province Summary' tab.</t>
  </si>
  <si>
    <t>This table calculates CO2e from GIS ISO-MSS certificates that are generated and settle in the same state. Emissions are calculated from MMBTU values in Column Q, and GWPs and fuel-specific emission factors from the 'GWPs &amp; Fuel EFs' tab.</t>
  </si>
  <si>
    <t>CO2e emissions from this table are summarized in Column E of the 'State &amp; Province Summary' tab.</t>
  </si>
  <si>
    <t>THIS TAB CONSISTS OF THREE GIS EMISSIONS TABLES: Net Transfer [A14:N164], ISO-MSS Emissions Removed-From-State [A172:M278], and ISO-MSS Emissions that Settle-In-State [A287:Q427].</t>
  </si>
  <si>
    <t>New York-EIA Net Generation (MWh)</t>
  </si>
  <si>
    <t>Vermont-EIA Net Generation (MWh)</t>
  </si>
  <si>
    <t>Net Generation Imported into ISO-NE</t>
  </si>
  <si>
    <t>to determine:
[on 'Imported Emissions' tab unless otherwise noted]</t>
  </si>
  <si>
    <t>Emissions for Canadian Provinces use data obtained from Environment Canada, Statistics Canada, NEPOOL-GIS and fuel-specific emission factors from the 'GWPs &amp; Fuel EFs' tab.</t>
  </si>
  <si>
    <t>Unit level CO2 emissions from EPA's Air Markets Program Data for units subject to RGGI and reporting to EPA under 40 CFR Part 75.</t>
  </si>
  <si>
    <t>THIS TAB CONSISTS OF THREE TABLES: Emissions Table [A9:F43], Generation and NEPOOL-GIS Certificates Table [A46:F113], and Emission Rate Table [H9:I43].</t>
  </si>
  <si>
    <t>Canadian Maritime Province Table is comprised of unit-specific certificates from New Brunswick, Nova Scotia and Prince Edward Island, and System Mix certificates from New Brunswick. The ISO-IMP certificates from all three provinces are summed in a TOTAL column.</t>
  </si>
  <si>
    <t>The GIS data ('GIS' and 'GIS CO2e' tabs) include New Brunswick System Mix certificates as well as unit-specific certificates from New Brunswick, Prince Edward Island and Nova Scotia (the Canadian Mariime Provinces whose power comes to ISO-NE through New Brunswick).</t>
  </si>
  <si>
    <r>
      <rPr>
        <b/>
        <sz val="10"/>
        <rFont val="Calibri"/>
        <family val="2"/>
      </rPr>
      <t xml:space="preserve">lb CO2e: </t>
    </r>
    <r>
      <rPr>
        <sz val="10"/>
        <rFont val="Calibri"/>
        <family val="2"/>
      </rPr>
      <t xml:space="preserve"> Displays emissions from each state and province adjusted by GIS certificates. Calculates emissions exported from states and provinces using export emission rates from the 'State &amp; Province Summary' tab, and Massachusetts' share of these exported emissions.</t>
    </r>
  </si>
  <si>
    <t>Emissions from ISO-NON meters are not included because emissions from NON sources are not generally included in Part 75 or EIA 923 data (and therefore are not included in state emissions calculated on 'Generation CO2e' tab.</t>
  </si>
  <si>
    <t>MA-Based and Regional Emission Rates</t>
  </si>
  <si>
    <t>MA- Based and Regional Emission Rates
[Columns T and CT]</t>
  </si>
  <si>
    <t>These MMBTU values represent the MMBTUs of the generating state's fuel-specific certificates. MMBTU values only appear for emitting fuels.</t>
  </si>
  <si>
    <t>In the case of a non-emitting GIS certificate, zero emissions are given to the state where the certificate is settled or reserved, but the state does pick up the MWh for its generation and load.</t>
  </si>
  <si>
    <t>AR4, 100-year</t>
  </si>
  <si>
    <t>AR5, 100-year</t>
  </si>
  <si>
    <t>AR4, 20-year</t>
  </si>
  <si>
    <t>AR5, 20-year</t>
  </si>
  <si>
    <t>https://www.iso-ne.com/search?query=energy%20peak%20by%20source</t>
  </si>
  <si>
    <t>https://www.iso-ne.com/search?query=2019%20generation%20and%20load%20by%20state</t>
  </si>
  <si>
    <t>BHB5</t>
  </si>
  <si>
    <t>Exelon West Medway II</t>
  </si>
  <si>
    <t>J4</t>
  </si>
  <si>
    <t>J5</t>
  </si>
  <si>
    <t>MBTA South Boston Power Facility</t>
  </si>
  <si>
    <t>.</t>
  </si>
  <si>
    <t>megawatthours</t>
  </si>
  <si>
    <t>William F Wyman Hybrid</t>
  </si>
  <si>
    <t>Kendall Green Energy, LLC</t>
  </si>
  <si>
    <t>Nantucket Hybrid</t>
  </si>
  <si>
    <t>Cleary Flood Hybrid</t>
  </si>
  <si>
    <t>Manchester Street, LLC.</t>
  </si>
  <si>
    <t>Block Island Utility District</t>
  </si>
  <si>
    <t>ND Paper, Inc.</t>
  </si>
  <si>
    <t>Woodland Pulp, LLC</t>
  </si>
  <si>
    <t>International Paper Woronoco Mill</t>
  </si>
  <si>
    <t>Community Eco Springfield LLC</t>
  </si>
  <si>
    <t>GR Catalyst Two LLC</t>
  </si>
  <si>
    <t>Dichotomy Collins Hydro LLC</t>
  </si>
  <si>
    <t>Rumford Power LLC</t>
  </si>
  <si>
    <t>RWE Renewables Americas LLC</t>
  </si>
  <si>
    <t>Terraform Arcadia</t>
  </si>
  <si>
    <t>Bridgeport Fuel Cell, LLC</t>
  </si>
  <si>
    <t>Charlton Solar I CSG</t>
  </si>
  <si>
    <t>Kings Park Solar I</t>
  </si>
  <si>
    <t>DG LF Solar, LLC</t>
  </si>
  <si>
    <t>Kings Park Solar II</t>
  </si>
  <si>
    <t>Exelon West Medway II LLC</t>
  </si>
  <si>
    <t>Antrim Wind</t>
  </si>
  <si>
    <t>Antrim Wind Energy LLC</t>
  </si>
  <si>
    <t>Stafford Hill Solar Hybrid</t>
  </si>
  <si>
    <t>GMP Solar - Panton Hybrid</t>
  </si>
  <si>
    <t>CMEEC - Polaris Park Solar Hybrid</t>
  </si>
  <si>
    <t>CMEEC - Norwich Stott St Solar Hybrid</t>
  </si>
  <si>
    <t>Renew Canal 1 CSG LLC</t>
  </si>
  <si>
    <t>Solar Mule, LLC</t>
  </si>
  <si>
    <t>Hampshire College Hybrid</t>
  </si>
  <si>
    <t>Mt. Tom Solar Project Hybrid</t>
  </si>
  <si>
    <t>DG Haverhill CSG</t>
  </si>
  <si>
    <t>DG Crystal Spring CSG</t>
  </si>
  <si>
    <t>DG Foxborough Elm CSG</t>
  </si>
  <si>
    <t>DG Tufts Science LLC CSG</t>
  </si>
  <si>
    <t>DG Dighton LLC CSG</t>
  </si>
  <si>
    <t>DG Tufts Knoll LLC CSG</t>
  </si>
  <si>
    <t>DG Webster LLC CSG</t>
  </si>
  <si>
    <t>MA Solar Storage 1 Hybrid</t>
  </si>
  <si>
    <t>Hope Farm Solar, LLC</t>
  </si>
  <si>
    <t>Riverhead Solar Farm</t>
  </si>
  <si>
    <t>Greenfield Solar PV</t>
  </si>
  <si>
    <t>Hinsdale Solar PV</t>
  </si>
  <si>
    <t>Savoy Solar PV</t>
  </si>
  <si>
    <t>Southampton Solar PV</t>
  </si>
  <si>
    <t>Springfield Solar PV</t>
  </si>
  <si>
    <t>Hampden Solar PV</t>
  </si>
  <si>
    <t>WED Plainfield II, LLC</t>
  </si>
  <si>
    <t>WED Plainfield III, LLC</t>
  </si>
  <si>
    <t>WED Plainfield, LLC</t>
  </si>
  <si>
    <t>WED GW Solar, LLC</t>
  </si>
  <si>
    <t>WED GW Solar, LLC CSG</t>
  </si>
  <si>
    <t>Palmer</t>
  </si>
  <si>
    <t>KCE NY 1</t>
  </si>
  <si>
    <t>KCE NY 1, LLC</t>
  </si>
  <si>
    <t>Hospital Rd Community Solar Farm CSG</t>
  </si>
  <si>
    <t>Pool Brook Rd Community Solar Farm</t>
  </si>
  <si>
    <t>Generate Capital</t>
  </si>
  <si>
    <t>Breesport Road Community Solar Farm</t>
  </si>
  <si>
    <t>NY Baldwin I, LLC</t>
  </si>
  <si>
    <t>Sacket Lake Rd #2 Community Solar Farm</t>
  </si>
  <si>
    <t>Turner Rd Community Solar Project</t>
  </si>
  <si>
    <t>Hadley 2 Solar, LLC CSG</t>
  </si>
  <si>
    <t>Griffin Road Solar, LLC CSG</t>
  </si>
  <si>
    <t>Ashby Solar, LLC CSG</t>
  </si>
  <si>
    <t>Dudley Solar CSG</t>
  </si>
  <si>
    <t>Williamsburg</t>
  </si>
  <si>
    <t>Ashburnham Energy Storage Project</t>
  </si>
  <si>
    <t>Westminster Renewables, LLC CSG</t>
  </si>
  <si>
    <t>GMP Solar/Storage-Milton Hybrid</t>
  </si>
  <si>
    <t>GMP Solar/Storage-Ferrisburgh Hybrid</t>
  </si>
  <si>
    <t>GMP Solar/Storage-Essex Hybrid</t>
  </si>
  <si>
    <t>Pasto Solar</t>
  </si>
  <si>
    <t>Spencer-Tioga Solar, LLC</t>
  </si>
  <si>
    <t>Daum Solar</t>
  </si>
  <si>
    <t>Middlesex-Yates Solar, LLC</t>
  </si>
  <si>
    <t>Ellis Solar</t>
  </si>
  <si>
    <t>Dryden-Tompkins Solar I, LLC</t>
  </si>
  <si>
    <t>Westminster</t>
  </si>
  <si>
    <t>Spencer TGC Westminster, LLC</t>
  </si>
  <si>
    <t>JLL-One Rockwood Road</t>
  </si>
  <si>
    <t>St. Johns Episcopal Hospital</t>
  </si>
  <si>
    <t>St. Joseph Hospital</t>
  </si>
  <si>
    <t>St. Joseph Hospital (NY)</t>
  </si>
  <si>
    <t>Mt.Sinai-St.Lukes Roosevelt Hosp. Center</t>
  </si>
  <si>
    <t>Mt.Sinai-St.Lukes Rsvlt. Hospital Center</t>
  </si>
  <si>
    <t>Gaskill Rd Community Solar Farm CSG</t>
  </si>
  <si>
    <t>Dryden Rd #2 Community Solar Farm CSG</t>
  </si>
  <si>
    <t>Woodoak Drive Community Solar Farm CSG</t>
  </si>
  <si>
    <t>CMR Solar LLC</t>
  </si>
  <si>
    <t>CMR Solar, LLC</t>
  </si>
  <si>
    <t>Villa Roma Rd #3 CSG</t>
  </si>
  <si>
    <t>Villa Roma Rd #4 CSG</t>
  </si>
  <si>
    <t>Boas Rd #1 Community Solar Farm</t>
  </si>
  <si>
    <t>NY Mooers I, LLC</t>
  </si>
  <si>
    <t>Boas Rd #2 Community Solar Farm</t>
  </si>
  <si>
    <t>NY Mooers II, LLC</t>
  </si>
  <si>
    <t>Boas Rd #3 Community Solar Farm</t>
  </si>
  <si>
    <t>NY Mooers III, LLC</t>
  </si>
  <si>
    <t>Kearsarge Johnstown 1 CSG</t>
  </si>
  <si>
    <t>Kearsarge Johnstown 2 CSG</t>
  </si>
  <si>
    <t>Kearsarge Wilmington</t>
  </si>
  <si>
    <t>Kearsarge Wilmington LLC</t>
  </si>
  <si>
    <t>GD Richmond Buttonwoods I, LLC</t>
  </si>
  <si>
    <t>Jiminy Peak Wind QF</t>
  </si>
  <si>
    <t>Jiminy Peak Mountain Resort, LLC</t>
  </si>
  <si>
    <t>Plainfield Community Solar LLC</t>
  </si>
  <si>
    <t>Plainfield Solar LLC</t>
  </si>
  <si>
    <t>Tolland Solar NG LLC</t>
  </si>
  <si>
    <t>Newfield Community Solar LLC</t>
  </si>
  <si>
    <t>Newfield Solar LLC</t>
  </si>
  <si>
    <t>Beebe Substation Battery Storage</t>
  </si>
  <si>
    <t>Montefiore Mount Vernon Hospital</t>
  </si>
  <si>
    <t>Rockland Bakery Inc.</t>
  </si>
  <si>
    <t>Minuteman Energy Storage</t>
  </si>
  <si>
    <t>Minuteman Eenergy Storage, LLC</t>
  </si>
  <si>
    <t>Happy Hollow CSG Hybrid</t>
  </si>
  <si>
    <t>DWW Solar ll</t>
  </si>
  <si>
    <t>DWW Solar ll LLC</t>
  </si>
  <si>
    <t>CED Northampton Solar LLC Hybrid</t>
  </si>
  <si>
    <t>Steel Sun 2: 2303-III-9 Hamburg Tpke</t>
  </si>
  <si>
    <t>Steel Sun 2: 2303-III-4 Hamburg Tpke</t>
  </si>
  <si>
    <t>Steel Sun 2: 2303-III-2 Hamburg Tpke</t>
  </si>
  <si>
    <t>Homer Street West</t>
  </si>
  <si>
    <t>Homer Street East</t>
  </si>
  <si>
    <t>MHG Wallingford</t>
  </si>
  <si>
    <t>Standard Solar</t>
  </si>
  <si>
    <t>East Hampton Energy Storage Center</t>
  </si>
  <si>
    <t>East Hampton Energy Storage Center, LLC</t>
  </si>
  <si>
    <t>Montauk Energy Storage Center</t>
  </si>
  <si>
    <t>Montauk Energy Storage Center, LLC</t>
  </si>
  <si>
    <t>Harbec Energy</t>
  </si>
  <si>
    <t>Greenville CSG</t>
  </si>
  <si>
    <t>Hopkinton CSG</t>
  </si>
  <si>
    <t>Chester CSG</t>
  </si>
  <si>
    <t>Carver CSG</t>
  </si>
  <si>
    <t>Westtown CSG</t>
  </si>
  <si>
    <t>Sugarhill Road - Solitude Solar CSG</t>
  </si>
  <si>
    <t>GSPP Devens, LLC</t>
  </si>
  <si>
    <t>Green Street Power Partners</t>
  </si>
  <si>
    <t>GSPP Terrawatt Westfield LLC CSG</t>
  </si>
  <si>
    <t>GSPP  Raynham TMLP, LLC CSG</t>
  </si>
  <si>
    <t>Ajax Solar, LLC (MA)</t>
  </si>
  <si>
    <t>Podunk Road CSG</t>
  </si>
  <si>
    <t>NY Enfield I LLC</t>
  </si>
  <si>
    <t>Acushnet Ball Plant 2</t>
  </si>
  <si>
    <t>Acushnet</t>
  </si>
  <si>
    <t>Nextsun Energy Littleton</t>
  </si>
  <si>
    <t>Garnet Solar (NY)</t>
  </si>
  <si>
    <t>Coventry Clean Energy Corporation</t>
  </si>
  <si>
    <t>Gardner - Otter River Road</t>
  </si>
  <si>
    <t>Otter River Road Solar LLC</t>
  </si>
  <si>
    <t>GSPP Boxborough Littleton (MA)</t>
  </si>
  <si>
    <t>GSPP Boxborough Littleton, LLC</t>
  </si>
  <si>
    <t>Holiday Hill Community Wind</t>
  </si>
  <si>
    <t>Hinesburg</t>
  </si>
  <si>
    <t>Viridity Energy Solutions, Inc.</t>
  </si>
  <si>
    <t>Kearsarge Gill</t>
  </si>
  <si>
    <t>Kearsarge Gill LLC</t>
  </si>
  <si>
    <t>Burrstone Energy Center</t>
  </si>
  <si>
    <t>Syncarpha Blandford Hybrid CSG</t>
  </si>
  <si>
    <t>Syncarpha Blandford, LLC</t>
  </si>
  <si>
    <t>East Pulaski BESS</t>
  </si>
  <si>
    <t>National Grid</t>
  </si>
  <si>
    <t>Goose Pond Solar</t>
  </si>
  <si>
    <t>LSE Dorado, LLC</t>
  </si>
  <si>
    <t>25 Ashdown Road Solar, LLC</t>
  </si>
  <si>
    <t>RT 52 Walden Solar 1, LLC Hybrid</t>
  </si>
  <si>
    <t>Ransomville Solar 1, LLC</t>
  </si>
  <si>
    <t>Johnstown Solar 1, LLC</t>
  </si>
  <si>
    <t>Hollygrove CSG</t>
  </si>
  <si>
    <t>Guildlerland CSG</t>
  </si>
  <si>
    <t>Howland CSG</t>
  </si>
  <si>
    <t>Gifford CSG</t>
  </si>
  <si>
    <t>Czub CSG</t>
  </si>
  <si>
    <t>Mereand CSG</t>
  </si>
  <si>
    <t>Aegis CSG</t>
  </si>
  <si>
    <t>Pearl CSG</t>
  </si>
  <si>
    <t>Bethlehem Solar</t>
  </si>
  <si>
    <t>Frog Hollow CSG</t>
  </si>
  <si>
    <t>Dover CSG</t>
  </si>
  <si>
    <t>Strauss CSG</t>
  </si>
  <si>
    <t>Ellsworth I CSG</t>
  </si>
  <si>
    <t>West Street Solar 1 LLC</t>
  </si>
  <si>
    <t>VPPSA Project 10</t>
  </si>
  <si>
    <t>Vermont Public Power Supply Authority</t>
  </si>
  <si>
    <t>Battle Creek Solar</t>
  </si>
  <si>
    <t>Middleton Solar Park</t>
  </si>
  <si>
    <t>HG Solar Development, LLC</t>
  </si>
  <si>
    <t>Knaggs Brothers Farm</t>
  </si>
  <si>
    <t>Dynamic Energy Solutions, LLC</t>
  </si>
  <si>
    <t>Brookfield Wire Company</t>
  </si>
  <si>
    <t>Kings Plaza Total Energy Plant (TEP)</t>
  </si>
  <si>
    <t>Veolia North America</t>
  </si>
  <si>
    <t>Sherman Solar</t>
  </si>
  <si>
    <t>Jackson Solar (CT)</t>
  </si>
  <si>
    <t>Becton Canaan</t>
  </si>
  <si>
    <t>DG Northeast 1, LLC</t>
  </si>
  <si>
    <t>Barneveld Solar</t>
  </si>
  <si>
    <t>Brass Mill Center</t>
  </si>
  <si>
    <t>Natick Mall</t>
  </si>
  <si>
    <t>Grand Prix Solar</t>
  </si>
  <si>
    <t>Diamond Properties</t>
  </si>
  <si>
    <t>100 Brook Hill Drive Solar</t>
  </si>
  <si>
    <t>Hobart &amp; William Smith College Gates Rd.</t>
  </si>
  <si>
    <t>Ticket Network South Windsor</t>
  </si>
  <si>
    <t>Corbin Russwin Phase 3 Berlin</t>
  </si>
  <si>
    <t>GSPP Gilman, LLC</t>
  </si>
  <si>
    <t>Riley Road LLC</t>
  </si>
  <si>
    <t>Hope Solar Farm LLC</t>
  </si>
  <si>
    <t>Catlin Solar 1 LLC</t>
  </si>
  <si>
    <t>Saratoga Solar LLC</t>
  </si>
  <si>
    <t>CP Middletown Solar I LLC</t>
  </si>
  <si>
    <t>CP Middletown Solar II LLC</t>
  </si>
  <si>
    <t>Kearsarge Amesbury Hybrid</t>
  </si>
  <si>
    <t>Kearsarge Amesbury LLC</t>
  </si>
  <si>
    <t>Pearl II</t>
  </si>
  <si>
    <t>Macedon</t>
  </si>
  <si>
    <t>Whittier</t>
  </si>
  <si>
    <t>Williamson</t>
  </si>
  <si>
    <t>Bennett</t>
  </si>
  <si>
    <t>UB Fuel Cell</t>
  </si>
  <si>
    <t>Clearway Energy, Inc</t>
  </si>
  <si>
    <t>Chenango Solar</t>
  </si>
  <si>
    <t>Calabro Airport North Solar Project</t>
  </si>
  <si>
    <t>Calabro Airport South Solar Project</t>
  </si>
  <si>
    <t>Mohonasen Central School District</t>
  </si>
  <si>
    <t>Solar Star Prime 1 LLC</t>
  </si>
  <si>
    <t>St. Joseph's Solar, LLC CSG</t>
  </si>
  <si>
    <t>38 Degrees North, LLC</t>
  </si>
  <si>
    <t>Boutillier Solar, LLC CSG</t>
  </si>
  <si>
    <t>Blair Wire Village Solar, LLC CSG</t>
  </si>
  <si>
    <t>Barton Acres Solar, LLC CSG</t>
  </si>
  <si>
    <t>Cherry Valley Solar, LLC CSG</t>
  </si>
  <si>
    <t>ISM Solar Dighton 2, LLC CSG</t>
  </si>
  <si>
    <t>Incom Solar, LLC CSG</t>
  </si>
  <si>
    <t>JH Solar, LLC CSG</t>
  </si>
  <si>
    <t>Woodchuck Solar, LLC CSG</t>
  </si>
  <si>
    <t>Dudley River 3 Solar, LLC CSG</t>
  </si>
  <si>
    <t>Dudley River 2 Solar, LLC CSG</t>
  </si>
  <si>
    <t>Dudley River Solar, LLC CSG</t>
  </si>
  <si>
    <t>Ledeaux Solar, LLC CSG</t>
  </si>
  <si>
    <t>Cohasse Solar, LLC CSG</t>
  </si>
  <si>
    <t>Palombo Solar, LLC CSG</t>
  </si>
  <si>
    <t>Palombo B Solar, LLC CSG</t>
  </si>
  <si>
    <t>One Patriot</t>
  </si>
  <si>
    <t>SDM000 Clarkson Fuel Cell</t>
  </si>
  <si>
    <t>2016 ESA Project Company, LLC</t>
  </si>
  <si>
    <t>NHH003 Clarkson Fuel Cell</t>
  </si>
  <si>
    <t>NHH004 Winthrop Fuel Cell</t>
  </si>
  <si>
    <t>Bowden Solar LLC</t>
  </si>
  <si>
    <t>38DN Power Fund 1 LLC</t>
  </si>
  <si>
    <t>University Solar, LLC</t>
  </si>
  <si>
    <t>Lakeville Solar</t>
  </si>
  <si>
    <t>C2 MA Lakeville, LLC</t>
  </si>
  <si>
    <t>Norwalk Hospital Plant</t>
  </si>
  <si>
    <t>Norwalk Hospital</t>
  </si>
  <si>
    <t>Oak Street Solar</t>
  </si>
  <si>
    <t>Cranberry Solar</t>
  </si>
  <si>
    <t>GWE Cranberry Solar RT, LLC</t>
  </si>
  <si>
    <t>Mount Hope East</t>
  </si>
  <si>
    <t>Mount Hope Solar 1 LLC</t>
  </si>
  <si>
    <t>Bluestone</t>
  </si>
  <si>
    <t>Bluestone Solar LLC</t>
  </si>
  <si>
    <t>Underhill</t>
  </si>
  <si>
    <t>Underhill Solar LLC</t>
  </si>
  <si>
    <t>Grabinski</t>
  </si>
  <si>
    <t>Grabinski Solar LLC</t>
  </si>
  <si>
    <t>Adirondack Solar</t>
  </si>
  <si>
    <t>NY - CSG - Ellsworth II</t>
  </si>
  <si>
    <t>EIA is now Cleary Flood Hybrid</t>
  </si>
  <si>
    <t>EIA Wyman Hybrid - but battery separate</t>
  </si>
  <si>
    <t>annual values as reported to FLIGHT</t>
  </si>
  <si>
    <t>Cogen</t>
  </si>
  <si>
    <t>Pumping / Charging Load</t>
  </si>
  <si>
    <t>https://www.govinfo.gov/content/pkg/FR-2016-12-09/pdf/2016-28564.pdf</t>
  </si>
  <si>
    <t>Changes made in 2016 (effective 1/1/2018) (page 89252 below) do not change the values from the 2014 tables, just some of the fuel names</t>
  </si>
  <si>
    <t>https://www.ipcc.ch/site/assets/uploads/2019/06/2019-Refinement_Energy_SBSTA-IPCC_Special-Event.pdf</t>
  </si>
  <si>
    <t>2019 Refinement: All changes made to Fugitive Emission factors, none to Stationary Combustion</t>
  </si>
  <si>
    <t>FC NG</t>
  </si>
  <si>
    <t>Fuel cell (Natural Gas)</t>
  </si>
  <si>
    <t>FC (Prime Mover) NG</t>
  </si>
  <si>
    <t>fuel cell natural gas</t>
  </si>
  <si>
    <t>natural gas (without fuel cell natural gas)</t>
  </si>
  <si>
    <t>lbs CO2/MWh</t>
  </si>
  <si>
    <t>lbs CO2</t>
  </si>
  <si>
    <t>FUEL CELL Natural Gas</t>
  </si>
  <si>
    <t>Catalog of CHP Technologies, Section 6. Technology Characterization – Fuel Cells (epa.gov)</t>
  </si>
  <si>
    <t>Source (page 6-19):</t>
  </si>
  <si>
    <t>Non-Combustion Emission Factor from Fuel Cells</t>
  </si>
  <si>
    <t xml:space="preserve">CO2 emission factor for FC NG </t>
  </si>
  <si>
    <t>Emission factor is the average of 5 fuel cell system types, with and without heat recovery.</t>
  </si>
  <si>
    <t>The Quantity, MMBTU and MWh totals for Fuel Cell Natural Gas below are subtracted from the natural gas totals from each relevant state above, so that they are not included in the state's natural gas combustion emissions on the Generation CO2e tab or heat rates on the GIS tab. Non-combustion process emissions of CO2 from Fuel Cells using natural gas are calculated separately on the Generation CO2e tab.</t>
  </si>
  <si>
    <t>Non-combustion process emissions of CO2 from Fuel Cells using natural gas for each state are calculated sepaprately from natural gas combustion emissions on the Generation CO2e tab. Non-combustion emissions from GIS certificates for fuel cells using natural gas are calculated on the GIS CO2e tab.</t>
  </si>
  <si>
    <t>The calculation of non-combustion CO2 emissions from fuel cells using natural gas (for CT and MA) are calculated from the MWh value on the 'GIS' tab instead of the MMBTU value in Column Q.</t>
  </si>
  <si>
    <t>A net MMBTU value from all ISO meter types for each state and province is provided in Column H.</t>
  </si>
  <si>
    <t>For details on the conversion of the GIS certificates from emitting fuels into MMBTUs, see the 'GIS' tab. Consolidation of the MMBTUs from the 'GIS' tab takes place on the 'GIS Heat Input' tab prior to being used here.</t>
  </si>
  <si>
    <r>
      <rPr>
        <b/>
        <u/>
        <sz val="12"/>
        <rFont val="Arial"/>
        <family val="2"/>
      </rPr>
      <t>ISO-MSS EMISSIONS REMOVED-FROM-STATE [A172 through N278]</t>
    </r>
    <r>
      <rPr>
        <sz val="12"/>
        <rFont val="Arial"/>
        <family val="2"/>
      </rPr>
      <t xml:space="preserve">: </t>
    </r>
  </si>
  <si>
    <r>
      <rPr>
        <b/>
        <u/>
        <sz val="12"/>
        <rFont val="Arial"/>
        <family val="2"/>
      </rPr>
      <t>ISO-MSS EMISSIONS THAT SETTLE-IN-STATE [A288 through Q428]</t>
    </r>
    <r>
      <rPr>
        <sz val="12"/>
        <rFont val="Arial"/>
        <family val="2"/>
      </rPr>
      <t xml:space="preserve">: </t>
    </r>
  </si>
  <si>
    <r>
      <t xml:space="preserve">Note: </t>
    </r>
    <r>
      <rPr>
        <sz val="10"/>
        <rFont val="Arial"/>
        <family val="2"/>
      </rPr>
      <t>The New Brunswick data summarized here and on the 'Imported Emissions' tab includes:  MWh imported into ISO-NE from New Brunswick ('Generation Load Import' tab), emissions from New Brunswick generation ('Generation CO2e' tab), and GIS certificate data.</t>
    </r>
  </si>
  <si>
    <t>MA-Based and Regional Emission Rates  &amp; GIS System Mix Emission Rates (NY, NB, Q) [Column H, this tab]</t>
  </si>
  <si>
    <t>Bellingham Power Generation LLC</t>
  </si>
  <si>
    <t>Blackstone Power Generation LLC</t>
  </si>
  <si>
    <t>Cricket Valley Energy Center</t>
  </si>
  <si>
    <t>U001</t>
  </si>
  <si>
    <t>U002</t>
  </si>
  <si>
    <t>U003</t>
  </si>
  <si>
    <t>GenOn Bowline, LLC</t>
  </si>
  <si>
    <t>Mongaup Falls</t>
  </si>
  <si>
    <t>Eagle Creek Renewable Energy, LLC</t>
  </si>
  <si>
    <t>Town of Marblehead - (MA)</t>
  </si>
  <si>
    <t>Central Rivers Power US, LLC</t>
  </si>
  <si>
    <t>Red Shield Envir Old Town Facility</t>
  </si>
  <si>
    <t>Stored Solar Springfield, LLC</t>
  </si>
  <si>
    <t>Stored Solar Services, LLC</t>
  </si>
  <si>
    <t>Stored Solar Whitefield, LLC</t>
  </si>
  <si>
    <t>Hydroland Omega LLC</t>
  </si>
  <si>
    <t>Stored Solar Bethlehem LLC</t>
  </si>
  <si>
    <t>Stored Solar Tamworth, LLC</t>
  </si>
  <si>
    <t>Clear Energy Capital, LLC</t>
  </si>
  <si>
    <t>Ryegate Associates, LLC</t>
  </si>
  <si>
    <t>Pixelle Androscoggin LLC</t>
  </si>
  <si>
    <t>Stored Solar Fitchburg, LLC</t>
  </si>
  <si>
    <t>Millennium Power Company, LLC</t>
  </si>
  <si>
    <t>Essential Power Operating Services, LLC</t>
  </si>
  <si>
    <t>Evergreen Wind, LLC</t>
  </si>
  <si>
    <t>Clinton</t>
  </si>
  <si>
    <t>Valcour Operating Services, LLC</t>
  </si>
  <si>
    <t>Ellenburg</t>
  </si>
  <si>
    <t>Bliss</t>
  </si>
  <si>
    <t>Altona</t>
  </si>
  <si>
    <t>Wethersfield</t>
  </si>
  <si>
    <t>Chateaugay</t>
  </si>
  <si>
    <t>Onward Energy</t>
  </si>
  <si>
    <t>Cricket Valley Energy</t>
  </si>
  <si>
    <t>Cricket Valley Energy Center LLC</t>
  </si>
  <si>
    <t>Chautauqua Green Energy, LLC</t>
  </si>
  <si>
    <t>Longroad Energy Services 2</t>
  </si>
  <si>
    <t>Mashpee Landfill Solar</t>
  </si>
  <si>
    <t>CVI CleanCapital Solar 6</t>
  </si>
  <si>
    <t>Shoreham Solar Commons, LLC</t>
  </si>
  <si>
    <t>Soltage VUL 1600 Chemung, LLC</t>
  </si>
  <si>
    <t>Southern Sky Renewable Energy Berkley, LLC</t>
  </si>
  <si>
    <t>CVI CleanCapital Solar 7</t>
  </si>
  <si>
    <t>AEP Onsite Partners, LLC</t>
  </si>
  <si>
    <t>St. Lawrence University - Sutton</t>
  </si>
  <si>
    <t>CVI Renewables Holdings, LLC.</t>
  </si>
  <si>
    <t>Kelly Bridge Road Community Solar Farm</t>
  </si>
  <si>
    <t>Sacket Lake Rd #1 Community Solar Farm</t>
  </si>
  <si>
    <t>Mount Sinai South Nassau Hospital</t>
  </si>
  <si>
    <t>Washington St Community Solar Farm #4</t>
  </si>
  <si>
    <t>Washington St Community Solar Farm #1</t>
  </si>
  <si>
    <t>Washington St Community Solar Farm #3</t>
  </si>
  <si>
    <t>Burritt Rd Community Solar Farm</t>
  </si>
  <si>
    <t>Frey Rd #1 Community Solar Farm</t>
  </si>
  <si>
    <t>KSI II Consolidated, LLC</t>
  </si>
  <si>
    <t>County Route 11 Community Solar Farm</t>
  </si>
  <si>
    <t>Furnace Rd Community Solar Farm</t>
  </si>
  <si>
    <t>Frey Rd #2 Community Solar Farm</t>
  </si>
  <si>
    <t>Villa Roma Rd #1</t>
  </si>
  <si>
    <t>Villa Roma Rd #2</t>
  </si>
  <si>
    <t>Boas Rd #4 Community Solar Farm</t>
  </si>
  <si>
    <t>GD West Greenwich Victory I, LLC</t>
  </si>
  <si>
    <t>REA Investments, LLC</t>
  </si>
  <si>
    <t>Bridgewater Complex Co-Generation Plant</t>
  </si>
  <si>
    <t>Massachusetts Department of Correction</t>
  </si>
  <si>
    <t>Hickory Grove #1</t>
  </si>
  <si>
    <t>Hickory Grove #1 LLC</t>
  </si>
  <si>
    <t>Hickory Grove #2</t>
  </si>
  <si>
    <t>Chambers Road Solar</t>
  </si>
  <si>
    <t>Chambers Road Solar LLC</t>
  </si>
  <si>
    <t>Town of Burrillville Solar CSG</t>
  </si>
  <si>
    <t>Syncarpha Halifax Hybrid CSG</t>
  </si>
  <si>
    <t>Syncarpha Halifax, LLC</t>
  </si>
  <si>
    <t>Syncarpha Northampton Hybrid CSG</t>
  </si>
  <si>
    <t>Syncarpha Northampton, LLC</t>
  </si>
  <si>
    <t>Finchville Solar, LLC Hybrid CSG</t>
  </si>
  <si>
    <t>Cronin Road Solar 1, LLC CSG Hybrid</t>
  </si>
  <si>
    <t>Howell CSG</t>
  </si>
  <si>
    <t>Allis Medina Solar LLC CSG</t>
  </si>
  <si>
    <t>Beals Medina Solar LLC CSG</t>
  </si>
  <si>
    <t>Weaver Wind</t>
  </si>
  <si>
    <t>Longroad Energy Services LLC</t>
  </si>
  <si>
    <t>Hopkins Hill CSG</t>
  </si>
  <si>
    <t>AES Tonawanda Solar LLC</t>
  </si>
  <si>
    <t>Hopkinton Phase 2</t>
  </si>
  <si>
    <t>Vista Solar, Inc.</t>
  </si>
  <si>
    <t>NY 26 Carthage CSG</t>
  </si>
  <si>
    <t>Sydney Solar</t>
  </si>
  <si>
    <t>Dickinson Solar (CT)</t>
  </si>
  <si>
    <t>Plainfield Solar 2</t>
  </si>
  <si>
    <t>Partridge Hill Solar Hybrid</t>
  </si>
  <si>
    <t>South Windsor Fuel Cell</t>
  </si>
  <si>
    <t>South Energy Investments LLC</t>
  </si>
  <si>
    <t>Sutton Solar 2, LLC CSG</t>
  </si>
  <si>
    <t>Sutton Solar 2, LLC</t>
  </si>
  <si>
    <t>Lansing Renewables, LLC</t>
  </si>
  <si>
    <t>Hales Mills Solar, LLC</t>
  </si>
  <si>
    <t>Owlville Creek Solar 2, LLC</t>
  </si>
  <si>
    <t>Owlville Creek Solar, LLC</t>
  </si>
  <si>
    <t>Solar Planet Power</t>
  </si>
  <si>
    <t>Greenwich Solar 1, LLC CSG</t>
  </si>
  <si>
    <t>Middletown Solar 1, LLC Hybrid CSG</t>
  </si>
  <si>
    <t>Hurteau Solar Project Hybrid</t>
  </si>
  <si>
    <t>Alicea Solar Project Hybrid CSG</t>
  </si>
  <si>
    <t>McDougle-Mitchell Solar Project Hybrid CSG</t>
  </si>
  <si>
    <t>Cycz Solar Project CSG Hybrid</t>
  </si>
  <si>
    <t>West A&amp;B Solar Project Hybrid CSG</t>
  </si>
  <si>
    <t>Annese Solar Project Hybrid CSG</t>
  </si>
  <si>
    <t>Amazon BDL3 Solar Project</t>
  </si>
  <si>
    <t>Nutmeg Solar</t>
  </si>
  <si>
    <t>Nutmeg Solar LLC</t>
  </si>
  <si>
    <t>Sanford Solar</t>
  </si>
  <si>
    <t>Sanford Airport Solar, LLC</t>
  </si>
  <si>
    <t>MSAP 13</t>
  </si>
  <si>
    <t>MSAP 13, LLC</t>
  </si>
  <si>
    <t>ISM Solar Cranston CSG</t>
  </si>
  <si>
    <t>Mount Hope West</t>
  </si>
  <si>
    <t>Mount Hope Solar 2 LLC</t>
  </si>
  <si>
    <t>NY- CSG- Johnstown 2</t>
  </si>
  <si>
    <t>NY- CSG- Livingston 4</t>
  </si>
  <si>
    <t>Partridgeville Hybrid CSG</t>
  </si>
  <si>
    <t>Partridgeville Road Solar 1, LLC</t>
  </si>
  <si>
    <t>Medusa NY 1</t>
  </si>
  <si>
    <t>Medusa NY 1, LLC</t>
  </si>
  <si>
    <t>Walden NY 1</t>
  </si>
  <si>
    <t>Walden NY 1, LLC</t>
  </si>
  <si>
    <t>Westtown NY 2</t>
  </si>
  <si>
    <t>Westtown NY 2, LLC</t>
  </si>
  <si>
    <t>Middletown NY 1</t>
  </si>
  <si>
    <t>Middletown NY 1, LLC</t>
  </si>
  <si>
    <t>Westerlo NY 1</t>
  </si>
  <si>
    <t>Westerlo NY 1, LLC</t>
  </si>
  <si>
    <t>East Brookfield Main Street Solar LLC CSG</t>
  </si>
  <si>
    <t>GD Hopkinton Main I, LLC</t>
  </si>
  <si>
    <t>Sunpin Blandford</t>
  </si>
  <si>
    <t>Blandford Sun, LLC</t>
  </si>
  <si>
    <t>Blackhorse Farm Solar, LLC CSG</t>
  </si>
  <si>
    <t>Erving CSG</t>
  </si>
  <si>
    <t>Erving Poplar Mountain Solar 1, LLC</t>
  </si>
  <si>
    <t>Easthampton CSG</t>
  </si>
  <si>
    <t>Easthampton Park Solar 1, LLC</t>
  </si>
  <si>
    <t>Pine Hill</t>
  </si>
  <si>
    <t>28 Livermore Hill Road Solar</t>
  </si>
  <si>
    <t>28 Livermore Hill Road Solar, LLC</t>
  </si>
  <si>
    <t>Brick Church Solar</t>
  </si>
  <si>
    <t>Brick Church Solar 1, LLC</t>
  </si>
  <si>
    <t>Kenmare - Sullivan Community College</t>
  </si>
  <si>
    <t>Wappinger 9D Solar</t>
  </si>
  <si>
    <t>Wappinger 9D Solar, LLC</t>
  </si>
  <si>
    <t>Montague Road Solar</t>
  </si>
  <si>
    <t>Montague Road Solar, LLC</t>
  </si>
  <si>
    <t>Off Airport Road - West</t>
  </si>
  <si>
    <t>Off Airport Road - West, LLC</t>
  </si>
  <si>
    <t>Fitchburg Renewables</t>
  </si>
  <si>
    <t>Fitchburg Renewables, LLC</t>
  </si>
  <si>
    <t>6140 Route 209 - North</t>
  </si>
  <si>
    <t>6140 Route 209 - North, LLC</t>
  </si>
  <si>
    <t>Pittsfield Solar LLC</t>
  </si>
  <si>
    <t>Pittsfiled Solar LLC</t>
  </si>
  <si>
    <t>Blanchard Road 1 Community Solar</t>
  </si>
  <si>
    <t>OYA Blanchard Road LLC</t>
  </si>
  <si>
    <t>North Providence</t>
  </si>
  <si>
    <t>Captona N.P. LLC</t>
  </si>
  <si>
    <t>Blanchard Road 2 Community Solar</t>
  </si>
  <si>
    <t>OYA Blanchard Road 2 LLC</t>
  </si>
  <si>
    <t>NYS Rte 12 Community Solar</t>
  </si>
  <si>
    <t>OYA NYS Rte 12 LLC</t>
  </si>
  <si>
    <t>Moore Road Community Solar</t>
  </si>
  <si>
    <t>OYA 2643 Moore Road LLC</t>
  </si>
  <si>
    <t>Great Lakes Seaway Community Solar</t>
  </si>
  <si>
    <t>OYA Great Lakes Seaway LLC</t>
  </si>
  <si>
    <t>GE 19th Hole</t>
  </si>
  <si>
    <t>DG New York Solar, LLC</t>
  </si>
  <si>
    <t>Canton</t>
  </si>
  <si>
    <t>Captona Canton LLC</t>
  </si>
  <si>
    <t>Gold Meadow Farms</t>
  </si>
  <si>
    <t>Captona Lippitt Ave Cranston LLC</t>
  </si>
  <si>
    <t>Ravenbrook</t>
  </si>
  <si>
    <t>Captona Ravenbrook LLC</t>
  </si>
  <si>
    <t>Hudson</t>
  </si>
  <si>
    <t>Captona Hudson LLC</t>
  </si>
  <si>
    <t>A Street 2</t>
  </si>
  <si>
    <t>Captona A Street 2 Johnston LLC</t>
  </si>
  <si>
    <t>Berkley</t>
  </si>
  <si>
    <t>Captona Berkley LLC</t>
  </si>
  <si>
    <t>Kilvert</t>
  </si>
  <si>
    <t>Captona Kilvert Street Warwick LLC</t>
  </si>
  <si>
    <t>A Street 1</t>
  </si>
  <si>
    <t>Captona A Street 1 Johnston LLC</t>
  </si>
  <si>
    <t>Carver</t>
  </si>
  <si>
    <t>Captona Carver LLC</t>
  </si>
  <si>
    <t>Plainfield Pike</t>
  </si>
  <si>
    <t>Captona Plainfield Pike Johnston LLC</t>
  </si>
  <si>
    <t>Chicopee</t>
  </si>
  <si>
    <t>Captona Chicopee LLC</t>
  </si>
  <si>
    <t>County Road 16</t>
  </si>
  <si>
    <t>Kenmare - Mansfield Branch Street</t>
  </si>
  <si>
    <t>Bloom-Altice Fuel Cell</t>
  </si>
  <si>
    <t>Newton Rumford Landfill</t>
  </si>
  <si>
    <t>Newton Municipal Solar LLC - Rumford</t>
  </si>
  <si>
    <t>Hadley 3 Solar (North)</t>
  </si>
  <si>
    <t>Hadley 3 Solar, LLC (North)</t>
  </si>
  <si>
    <t>Hadley 3 Solar (South)</t>
  </si>
  <si>
    <t>Hadley 3 Solar, LLC (South)</t>
  </si>
  <si>
    <t>Lawrence Brook</t>
  </si>
  <si>
    <t>Corning Riverview (CSG)</t>
  </si>
  <si>
    <t>Corning Riverview Project</t>
  </si>
  <si>
    <t>WED Coventry Seven, LLC</t>
  </si>
  <si>
    <t>GD Glocester White Oak I, LLC</t>
  </si>
  <si>
    <t>Orbit Bloom Fuel Cell</t>
  </si>
  <si>
    <t>DG Fuel Cell, LLC</t>
  </si>
  <si>
    <t>Plainfield Solar 1</t>
  </si>
  <si>
    <t>Signature Breads Chelsea</t>
  </si>
  <si>
    <t>IXYS - Beverly</t>
  </si>
  <si>
    <t>IXYS Integrated Circuits Division, LLC</t>
  </si>
  <si>
    <t>Georges River Energy</t>
  </si>
  <si>
    <t>Wilbraham</t>
  </si>
  <si>
    <t>BWC East Brook, LLC</t>
  </si>
  <si>
    <t>Elm Street</t>
  </si>
  <si>
    <t>ISM Solar Dighton 3, LLC</t>
  </si>
  <si>
    <t>Sunvestment Energy Group NY 63 LLC</t>
  </si>
  <si>
    <t>Breckenridge Solar</t>
  </si>
  <si>
    <t>Breckenridge Street Solar 1, LLC</t>
  </si>
  <si>
    <t>Rounseville Solar</t>
  </si>
  <si>
    <t>Rounseville Solar 1, LLC</t>
  </si>
  <si>
    <t>Wilmarth Solar</t>
  </si>
  <si>
    <t>Wilmarth Lane Solar 1, LLC</t>
  </si>
  <si>
    <t>County of Dutchess, NY (Airport)</t>
  </si>
  <si>
    <t>Merrimack Solar Farm, LLC</t>
  </si>
  <si>
    <t>Merrimack Solar Farm</t>
  </si>
  <si>
    <t>Stamford Health</t>
  </si>
  <si>
    <t>Stamford Health Systems, Inc.</t>
  </si>
  <si>
    <t>Troupsburg</t>
  </si>
  <si>
    <t>Smithfield Solar Farm, LLC</t>
  </si>
  <si>
    <t>Smithfield Solar Farm</t>
  </si>
  <si>
    <t>Dudley</t>
  </si>
  <si>
    <t>AMP MA Dudley</t>
  </si>
  <si>
    <t>Joe Jenny</t>
  </si>
  <si>
    <t>AMP MA Joe Jenny</t>
  </si>
  <si>
    <t>Westport Community Solar Garden</t>
  </si>
  <si>
    <t>BWC Bass River LLC</t>
  </si>
  <si>
    <t>Mendon</t>
  </si>
  <si>
    <t>BWC Box Pond LLC</t>
  </si>
  <si>
    <t>Dover</t>
  </si>
  <si>
    <t>BWC Buckmaster Pond LLC</t>
  </si>
  <si>
    <t>Adirondack A+B Community Solar Garden</t>
  </si>
  <si>
    <t>BWC Connecticut River LLC</t>
  </si>
  <si>
    <t>Westport B Community Solar Garden</t>
  </si>
  <si>
    <t>BWC Hamilton Brook LLC</t>
  </si>
  <si>
    <t>TPE Hopkins Solar Holdings1, LLC</t>
  </si>
  <si>
    <t>Alton Road Solar</t>
  </si>
  <si>
    <t>Revity Energy LLC</t>
  </si>
  <si>
    <t>Goldman Sachs Carports Solar</t>
  </si>
  <si>
    <t>Fuel Cell 18A Sneden Avenue</t>
  </si>
  <si>
    <t>Annadale Community Clean Energy Projects LLC</t>
  </si>
  <si>
    <t>Fuel Cell 18B Sneden Avenue</t>
  </si>
  <si>
    <t>FDX010.0 FedEx Fuel Cell</t>
  </si>
  <si>
    <t>says Non-Cogen and did not burn biomass in 2020</t>
  </si>
  <si>
    <t>ISO New England - Energy, Load, and Demand Reports (iso-ne.com)</t>
  </si>
  <si>
    <t>https://www.iso-ne.com/isoexpress/web/reports/load-and-demand/-/tree/net-ener-peak-load</t>
  </si>
  <si>
    <t>10/12/21 - no update.</t>
  </si>
  <si>
    <t>landfill gas (methane)</t>
  </si>
  <si>
    <t>MA Electric Generation including MA net GIS certificates (MWh)</t>
  </si>
  <si>
    <t>New for 2020</t>
  </si>
  <si>
    <t>from MA to CT</t>
  </si>
  <si>
    <t>NET=ALLin-MSSout</t>
  </si>
  <si>
    <t xml:space="preserve">Fuel cell (Natural Gas) non-combustion CO2 emissions are calculated directly from MWh (certificates) instead of MMBTUs so the heat rate values remain blank. </t>
  </si>
  <si>
    <t>Vineyard Reliability LLC</t>
  </si>
  <si>
    <t>PSEG- Provport Coal Storage</t>
  </si>
  <si>
    <t>MATEP LLC</t>
  </si>
  <si>
    <t>Sappi North America  Westbrook Mill</t>
  </si>
  <si>
    <t>Herkimer</t>
  </si>
  <si>
    <t>ECOsponsible LLC</t>
  </si>
  <si>
    <t>NewYork-Presbyterian Brooklyn Methodist Hospital</t>
  </si>
  <si>
    <t>Henkel U.S. Operations Corporation</t>
  </si>
  <si>
    <t>NexteraEnergy</t>
  </si>
  <si>
    <t>Goldman Sachs Renewable Power LLC</t>
  </si>
  <si>
    <t>Cassadaga Wind Farm</t>
  </si>
  <si>
    <t>Excelsior Energy Capital</t>
  </si>
  <si>
    <t>631-56 Airport Owner, LLC</t>
  </si>
  <si>
    <t>Concord New Energy</t>
  </si>
  <si>
    <t>Anaergia</t>
  </si>
  <si>
    <t>Salem Harbor Power Development LP</t>
  </si>
  <si>
    <t>AIS Solar Project</t>
  </si>
  <si>
    <t>Roaring Brook, LLC</t>
  </si>
  <si>
    <t>DG Haverhill</t>
  </si>
  <si>
    <t>DG Foxborough Elm</t>
  </si>
  <si>
    <t>West Brookfield Solar - Gilbertsville Rd (CSG)</t>
  </si>
  <si>
    <t>DG Tufts Science, LLC</t>
  </si>
  <si>
    <t>DG Dighton, LLC</t>
  </si>
  <si>
    <t>DG Tufts Knoll, LLC</t>
  </si>
  <si>
    <t>DG Webster, LLC</t>
  </si>
  <si>
    <t>Adapture Renewables, Inc.</t>
  </si>
  <si>
    <t>Gloversville Landfill Solar</t>
  </si>
  <si>
    <t>Gloversville Community Solar LLC</t>
  </si>
  <si>
    <t>Big Tree Community Solar Farm</t>
  </si>
  <si>
    <t>Telegraph Rd #1 Community Solar Farm</t>
  </si>
  <si>
    <t>Telegraph Rd #2 Community Solar Farm</t>
  </si>
  <si>
    <t>Route 22 Community Solar Farm CSG</t>
  </si>
  <si>
    <t>Nautilus Goat Island Solar LLC (CSG)</t>
  </si>
  <si>
    <t>10 Briggs Solar NG, LLC (East)</t>
  </si>
  <si>
    <t>SolRiver Capital LLC</t>
  </si>
  <si>
    <t>98th Street Battery Storage Station</t>
  </si>
  <si>
    <t>RoxWind</t>
  </si>
  <si>
    <t>RoxWind LLC</t>
  </si>
  <si>
    <t>Syncarpha Puddon I Hybrid CSG</t>
  </si>
  <si>
    <t>Syncarpha Puddon I, LLC</t>
  </si>
  <si>
    <t>Syncarpha Puddon II Hybrid CSG</t>
  </si>
  <si>
    <t>Syncarpha Puddon II, LLC</t>
  </si>
  <si>
    <t>Syncarpha Leicester Hybrid CSG</t>
  </si>
  <si>
    <t>Syncarpha Leicester, LLC</t>
  </si>
  <si>
    <t>Syncarpha Northbridge I Hybrid(CSG)</t>
  </si>
  <si>
    <t>Syncarpha Northbridge I, LLC</t>
  </si>
  <si>
    <t>Syncarpha Northbridge II Hybrid CSG</t>
  </si>
  <si>
    <t>Syncarpha Northbridge II, LLC</t>
  </si>
  <si>
    <t>Lane Ave Solar LLC</t>
  </si>
  <si>
    <t>Ryan Road Solar LLC Hybrid(CSG)</t>
  </si>
  <si>
    <t>W. Orange Rd Solar LLC</t>
  </si>
  <si>
    <t>Wilbur Woods Solar LLC</t>
  </si>
  <si>
    <t>Granby Solar, LLC CSG</t>
  </si>
  <si>
    <t>Granby Solar, LLC</t>
  </si>
  <si>
    <t>Randall Solar Project Hybrid</t>
  </si>
  <si>
    <t>SWM Fuel Cell</t>
  </si>
  <si>
    <t>Yaphank Fuel Cell Park, LLC</t>
  </si>
  <si>
    <t>CES Marbletown Solar</t>
  </si>
  <si>
    <t>Fogarty CSG</t>
  </si>
  <si>
    <t>Fogarty Solar LLC</t>
  </si>
  <si>
    <t>CES Agawam Tuckahoe Solar Hybrid</t>
  </si>
  <si>
    <t>CES Agawam Tuckahoe Solar LLC</t>
  </si>
  <si>
    <t>Williamsville Hybrid CSG</t>
  </si>
  <si>
    <t>Williamsville Road LLC</t>
  </si>
  <si>
    <t>Milo PV - BD Solar 1 LLC</t>
  </si>
  <si>
    <t>BD Solar 1 LLC</t>
  </si>
  <si>
    <t>Augusta PV - BD Solar Augusta LLC</t>
  </si>
  <si>
    <t>BD Solar Augusta LLC</t>
  </si>
  <si>
    <t>Fairfield PV - BD Solar Fairfield LLC</t>
  </si>
  <si>
    <t>BD Solar Fairfield LLC</t>
  </si>
  <si>
    <t>Oxford PV - BD Solar Oxford LLC</t>
  </si>
  <si>
    <t>BD Solar Oxford LLC</t>
  </si>
  <si>
    <t>Amaterasu LLC</t>
  </si>
  <si>
    <t>SELCO Community Solar</t>
  </si>
  <si>
    <t>Podunque Road CSG</t>
  </si>
  <si>
    <t>Townsend Road(CSG)</t>
  </si>
  <si>
    <t>Ware Palmer Road Solar LLC CSG</t>
  </si>
  <si>
    <t>Ware Palmer Road Solar LLC</t>
  </si>
  <si>
    <t>East Brookfield Adams Road Solar LLC CSG</t>
  </si>
  <si>
    <t>East Brookfield Adams Road Solar LLC</t>
  </si>
  <si>
    <t>BWC Stony Brook, LLC Hybrid</t>
  </si>
  <si>
    <t>ZPD-PT Solar Project 2017-038 Hybrid LLC</t>
  </si>
  <si>
    <t>BWC Muddy Brook, LLC Hybrid</t>
  </si>
  <si>
    <t>BWC Lake Lashaway, LLC Hybrid</t>
  </si>
  <si>
    <t>ZPD-PT Solar Project 2017-044 LLC CSG</t>
  </si>
  <si>
    <t>ZPD-PT Solar Project 2017-023 LLC Hybrid CSG</t>
  </si>
  <si>
    <t>ZPD-PT Solar Project 2017-021 LLC Hybrid CSG</t>
  </si>
  <si>
    <t>Blair Solar</t>
  </si>
  <si>
    <t>Madison Solar</t>
  </si>
  <si>
    <t>Few Solar</t>
  </si>
  <si>
    <t>Roger Williams - Melville at Portsmouth</t>
  </si>
  <si>
    <t>Constellation Solar Rhode Island LLC</t>
  </si>
  <si>
    <t>Farmington Solar</t>
  </si>
  <si>
    <t>Farmington Solar, LLC</t>
  </si>
  <si>
    <t>Amazon JFK8 Solar Project</t>
  </si>
  <si>
    <t>Solar Star Prime 2, LLC</t>
  </si>
  <si>
    <t>Cortlandville I Solar CSG</t>
  </si>
  <si>
    <t>DG New York CS, LLC</t>
  </si>
  <si>
    <t>Sangerfield Solar CSG</t>
  </si>
  <si>
    <t>Clay Solar CSG</t>
  </si>
  <si>
    <t>Norwich Solar and Energy Storage CSG</t>
  </si>
  <si>
    <t>JDC 65R Owner, LLC</t>
  </si>
  <si>
    <t>Quinebaug Solar</t>
  </si>
  <si>
    <t>Quinebaug Solar, LLC</t>
  </si>
  <si>
    <t>ZPD-PT Solar Project 2017-006 LLC Hybrid</t>
  </si>
  <si>
    <t>Town of Ware - Canadian Tree(CSG)</t>
  </si>
  <si>
    <t>MA CS Ware West, LLC</t>
  </si>
  <si>
    <t>Dresser Hill CSG</t>
  </si>
  <si>
    <t>Dresser Hill Solar, LLC</t>
  </si>
  <si>
    <t>Golden Solar</t>
  </si>
  <si>
    <t>Alchemy Renewable Energy</t>
  </si>
  <si>
    <t>Rosemond Solar Community Solar</t>
  </si>
  <si>
    <t>Volney II</t>
  </si>
  <si>
    <t>Raboth - Marion Drive</t>
  </si>
  <si>
    <t>Madison Energy Holdings LLC</t>
  </si>
  <si>
    <t>Bright Field Solar LLC(CSG)</t>
  </si>
  <si>
    <t>Bright Oak Solar LLC(CSG)</t>
  </si>
  <si>
    <t>Bright Hill Solar LLC(CSG)</t>
  </si>
  <si>
    <t>River Valley LLC (NY) (csg)</t>
  </si>
  <si>
    <t>Wallingford Solar</t>
  </si>
  <si>
    <t>Wallingford Renewable Energy, LLC</t>
  </si>
  <si>
    <t>Tioga Solar South(CSG)</t>
  </si>
  <si>
    <t>237 State Route 96 Site 2, LLC</t>
  </si>
  <si>
    <t>Tioga Solar North(CSG)</t>
  </si>
  <si>
    <t>237 State Route 96 Site 1, LLC</t>
  </si>
  <si>
    <t>Washingtonville(CSG)</t>
  </si>
  <si>
    <t>Washingtonville</t>
  </si>
  <si>
    <t>Minisink CSG</t>
  </si>
  <si>
    <t>Minisink Solar LLC</t>
  </si>
  <si>
    <t>Slate Hill(CSG)</t>
  </si>
  <si>
    <t>Slate Hill Solar LLC</t>
  </si>
  <si>
    <t>Bellisario Solar 1</t>
  </si>
  <si>
    <t>Lapeer-Cortland Solar, LLC</t>
  </si>
  <si>
    <t>Bellisario Solar 2</t>
  </si>
  <si>
    <t>Bellisario Solar 3</t>
  </si>
  <si>
    <t>Kearsarge William Way</t>
  </si>
  <si>
    <t>Kearsarge William Way LLC</t>
  </si>
  <si>
    <t>Kearsarge Haverhill</t>
  </si>
  <si>
    <t>Kearsarge Haverhill LLC</t>
  </si>
  <si>
    <t>Kearsarge Montague BD(CSG)</t>
  </si>
  <si>
    <t>Kearsarge Montague BD LLC</t>
  </si>
  <si>
    <t>Blodgett Solar CSG</t>
  </si>
  <si>
    <t>Blodgett Street Solar 1, LLC</t>
  </si>
  <si>
    <t>Clark Road Solar 1, LLC</t>
  </si>
  <si>
    <t>Acton</t>
  </si>
  <si>
    <t>Acton H Road Solar 1, LLC</t>
  </si>
  <si>
    <t>Naples</t>
  </si>
  <si>
    <t>Naples Casco Solar 1, LLC</t>
  </si>
  <si>
    <t>Hamlin Solar 1, LLC</t>
  </si>
  <si>
    <t>Clifton Park Solar 1, LLC</t>
  </si>
  <si>
    <t>Clifton Park Solar 2, LLC</t>
  </si>
  <si>
    <t>Fredonia Solar LLC</t>
  </si>
  <si>
    <t>Dunstable Solar 1, LLC</t>
  </si>
  <si>
    <t>Fairhaven MA 2</t>
  </si>
  <si>
    <t>Dusenberry</t>
  </si>
  <si>
    <t>Knapp East (CSG)</t>
  </si>
  <si>
    <t>Glenmere Lake</t>
  </si>
  <si>
    <t>Knapp West(CSG)</t>
  </si>
  <si>
    <t>Rowe (CSG)</t>
  </si>
  <si>
    <t>Williams Rd</t>
  </si>
  <si>
    <t>Maple(CSG)</t>
  </si>
  <si>
    <t>Maple Street Solar 1, LLC</t>
  </si>
  <si>
    <t>Kearsarge Westerly</t>
  </si>
  <si>
    <t>Kearsarge Westerly LLC</t>
  </si>
  <si>
    <t>Kearsarge Fogland</t>
  </si>
  <si>
    <t>Kearsarge Fogland LLC</t>
  </si>
  <si>
    <t>Kearsarge East Providence</t>
  </si>
  <si>
    <t>Kearsarge East Providence LLC</t>
  </si>
  <si>
    <t>Freehold(CSG)</t>
  </si>
  <si>
    <t>Freehold Solar, LLC</t>
  </si>
  <si>
    <t>Billings Road</t>
  </si>
  <si>
    <t>ER Salvage Yard</t>
  </si>
  <si>
    <t>276 Federal Rd(CSG)</t>
  </si>
  <si>
    <t>276FED WHAM8 Solar, LLC</t>
  </si>
  <si>
    <t>0 Hammond St CSG</t>
  </si>
  <si>
    <t>0HAM WHAM8 Solar, LLC</t>
  </si>
  <si>
    <t>59 Federal Rd(CSG)</t>
  </si>
  <si>
    <t>59FED WHAM8 Solar, LLC</t>
  </si>
  <si>
    <t>Park St</t>
  </si>
  <si>
    <t>Torrington Solar One, LLC</t>
  </si>
  <si>
    <t>DG Connecticut III, LLC</t>
  </si>
  <si>
    <t>Bristol Solar One, LLC</t>
  </si>
  <si>
    <t>Watertown Solar One, LLC</t>
  </si>
  <si>
    <t>UMass Boston</t>
  </si>
  <si>
    <t>71 Charlotte Furnace Rd Hybrid(CSG)</t>
  </si>
  <si>
    <t>71CFR WHAM8 Solar, LLC</t>
  </si>
  <si>
    <t>77 Farm to Market Rd Hybrid(CSG)</t>
  </si>
  <si>
    <t>77F2M WHAM8 Solar, LLC</t>
  </si>
  <si>
    <t>160 Tihonet Rd Hybrid(CSG)</t>
  </si>
  <si>
    <t>160TIH WHAM8 Solar, LLC</t>
  </si>
  <si>
    <t>299 Farm to Market Rd Hybrid(CSG)</t>
  </si>
  <si>
    <t>299F2M WHAM8 Solar, LLC</t>
  </si>
  <si>
    <t>Halifax Solar</t>
  </si>
  <si>
    <t>580 River Solar</t>
  </si>
  <si>
    <t>115 G Fisher</t>
  </si>
  <si>
    <t>154 D Fisher</t>
  </si>
  <si>
    <t>196 Tremont St(CSG)</t>
  </si>
  <si>
    <t>196TRE WHAM8 Solar, LLC</t>
  </si>
  <si>
    <t>NY8 - Branscomb Solar</t>
  </si>
  <si>
    <t>Clinton Solar</t>
  </si>
  <si>
    <t>Cranberry Highway Solar LLC</t>
  </si>
  <si>
    <t>Cranberry Highway Solar, LLC</t>
  </si>
  <si>
    <t>ENGIE 2019 ProjectCo-MA1, LLC</t>
  </si>
  <si>
    <t>ENGIE 2019 ProjectCo MA-1, LLC</t>
  </si>
  <si>
    <t>Norton LLC</t>
  </si>
  <si>
    <t>Holliston LLC</t>
  </si>
  <si>
    <t>Medtronic - New Haven 2</t>
  </si>
  <si>
    <t>Medtronic - New Haven</t>
  </si>
  <si>
    <t>Certain Solar - Staten Island</t>
  </si>
  <si>
    <t>Equinix - Billerica</t>
  </si>
  <si>
    <t>Altice - Hicksville</t>
  </si>
  <si>
    <t>Woburn</t>
  </si>
  <si>
    <t>South Goshen (Community Solar)</t>
  </si>
  <si>
    <t>Chambers 3 - Lewis County</t>
  </si>
  <si>
    <t>Chambers 3 - Erie County Alden</t>
  </si>
  <si>
    <t>Charlemont A</t>
  </si>
  <si>
    <t>Charlemont MA, LLC</t>
  </si>
  <si>
    <t>Fairhaven E</t>
  </si>
  <si>
    <t>Fairhaven MA 1, LLC</t>
  </si>
  <si>
    <t>Barrow Solar</t>
  </si>
  <si>
    <t>Indian River Hydro</t>
  </si>
  <si>
    <t>DOCCS Midstate</t>
  </si>
  <si>
    <t>DOCCS Eastern</t>
  </si>
  <si>
    <t>DOCCS Wende</t>
  </si>
  <si>
    <t>DOCCS Greenhaven</t>
  </si>
  <si>
    <t>MacKinnon Solar</t>
  </si>
  <si>
    <t>McHenry Solar</t>
  </si>
  <si>
    <t>BWC Maces Pond LLC</t>
  </si>
  <si>
    <t>OYA State Route 122</t>
  </si>
  <si>
    <t>OYA State Route 122, LLC</t>
  </si>
  <si>
    <t>Hartland Solar</t>
  </si>
  <si>
    <t>Unity Solar</t>
  </si>
  <si>
    <t>GD Johnson Scituate I, LLC</t>
  </si>
  <si>
    <t>GDIM 1, LLC</t>
  </si>
  <si>
    <t>GDIM 2, LLC</t>
  </si>
  <si>
    <t>GDIM 3, LLC</t>
  </si>
  <si>
    <t>GDIM 4, LLC</t>
  </si>
  <si>
    <t>Green Providence Wind I, LLC</t>
  </si>
  <si>
    <t>Green Providence WInd I, LLC</t>
  </si>
  <si>
    <t>Green Providence Wind II, LLC</t>
  </si>
  <si>
    <t>JB-Tobin 2</t>
  </si>
  <si>
    <t>AES Clean Energy</t>
  </si>
  <si>
    <t>Castleton</t>
  </si>
  <si>
    <t>Conductive Power</t>
  </si>
  <si>
    <t>Brockelman Road Solar 2</t>
  </si>
  <si>
    <t>Brockelman Road Solar 2, LLC</t>
  </si>
  <si>
    <t>TES Rowtier</t>
  </si>
  <si>
    <t>SkyHigh 2 Solar</t>
  </si>
  <si>
    <t>East Windsor Solar One</t>
  </si>
  <si>
    <t>Southington Solar One</t>
  </si>
  <si>
    <t>Long Plain Solar</t>
  </si>
  <si>
    <t>Long Plain Solar, LLC</t>
  </si>
  <si>
    <t>Settlers Solar</t>
  </si>
  <si>
    <t>Settlers Solar, LLC</t>
  </si>
  <si>
    <t>Griffin Road Solar 2</t>
  </si>
  <si>
    <t>Griffin Road Solar 2, LLC</t>
  </si>
  <si>
    <t>Woodland Avenue Solar 1</t>
  </si>
  <si>
    <t>Woodland Avenue Solar 1, LLC</t>
  </si>
  <si>
    <t>RT405 Westerlo Solar 2</t>
  </si>
  <si>
    <t>RT405 Westerlo Solar 2, LLC</t>
  </si>
  <si>
    <t>Webster Solar</t>
  </si>
  <si>
    <t>Webster Solar, LLC</t>
  </si>
  <si>
    <t>LR Wheatfield Solar 1</t>
  </si>
  <si>
    <t>LR Wheatfield Solar 1, LLC</t>
  </si>
  <si>
    <t>Pendleton Solar 1</t>
  </si>
  <si>
    <t>Pendleton Solar 1, LLC</t>
  </si>
  <si>
    <t>Centech Gas Generator</t>
  </si>
  <si>
    <t>EIA-923 Monthly Generation and Fuel Consumption Time Series File, 2021 Final Data</t>
  </si>
  <si>
    <t>Release Date 10/14/22</t>
  </si>
  <si>
    <t>Generation-Load="Imports" (GWh)</t>
  </si>
  <si>
    <t>Actual Imports-"Imports"=Pumping (GWh)</t>
  </si>
  <si>
    <t>11/9/22-NE-ISO 2021 Net Energy Peak by Source (dated 10/14/22)</t>
  </si>
  <si>
    <t>Gowanus Generating Station</t>
  </si>
  <si>
    <t>CT01-1</t>
  </si>
  <si>
    <t>CT01-2</t>
  </si>
  <si>
    <t>CT01-3</t>
  </si>
  <si>
    <t>CT01-4</t>
  </si>
  <si>
    <t>CT01-5</t>
  </si>
  <si>
    <t>CT01-6</t>
  </si>
  <si>
    <t>CT01-7</t>
  </si>
  <si>
    <t>CT01-8</t>
  </si>
  <si>
    <t>CT02-5</t>
  </si>
  <si>
    <t>CT02-6</t>
  </si>
  <si>
    <t>CT02-7</t>
  </si>
  <si>
    <t>CT02-8</t>
  </si>
  <si>
    <t>CT03-5</t>
  </si>
  <si>
    <t>CT03-6</t>
  </si>
  <si>
    <t>CT03-7</t>
  </si>
  <si>
    <t>CT03-8</t>
  </si>
  <si>
    <t>CT04-1</t>
  </si>
  <si>
    <t>CT04-2</t>
  </si>
  <si>
    <t>CT04-3</t>
  </si>
  <si>
    <t>CT04-4</t>
  </si>
  <si>
    <t>CT04-5</t>
  </si>
  <si>
    <t>CT04-6</t>
  </si>
  <si>
    <t>CT04-7</t>
  </si>
  <si>
    <t>CT04-8</t>
  </si>
  <si>
    <t>CT0003</t>
  </si>
  <si>
    <t>CT0004</t>
  </si>
  <si>
    <t>CT0005</t>
  </si>
  <si>
    <t>Narrows Generating Station</t>
  </si>
  <si>
    <t>CT0001</t>
  </si>
  <si>
    <t>CT0010</t>
  </si>
  <si>
    <t>CT0011</t>
  </si>
  <si>
    <t>CT0002</t>
  </si>
  <si>
    <t>UGT014</t>
  </si>
  <si>
    <t>UGT011</t>
  </si>
  <si>
    <t>from CT to ME</t>
  </si>
  <si>
    <t>New for 2021</t>
  </si>
  <si>
    <t>data via email on 11/14/22 (request 11/9/22)</t>
  </si>
  <si>
    <t>11/22/22-ISO Gen-Nel-ISO-States (Revised published: 11/18/2022)</t>
  </si>
  <si>
    <t>from 923 tab filtered for only Electric Utilities, NAICS Cogen, and NAICS Non-Cogen, cell 2434</t>
  </si>
  <si>
    <t>x</t>
  </si>
  <si>
    <t>I do not see this in the 923 data</t>
  </si>
  <si>
    <t>3/28/23 - no update.</t>
  </si>
  <si>
    <t>3/28/23-Updates to Bituminous &amp; Lignite Coal</t>
  </si>
  <si>
    <t>Released: November 2, 2022 with data for 2021
Next Update: October 2023</t>
  </si>
  <si>
    <t>not shown on 923, on March revision but MMBTUs greater here</t>
  </si>
  <si>
    <t>not shown on 923, on March revision w/no MMBTUs</t>
  </si>
  <si>
    <r>
      <t>CHP</t>
    </r>
    <r>
      <rPr>
        <sz val="10"/>
        <color rgb="FFFF0000"/>
        <rFont val="Arial"/>
        <family val="2"/>
      </rPr>
      <t>, using Part 75 for this year since not on 923 (on March 923 revision but w/elec values lower and full value higher than 923)</t>
    </r>
  </si>
  <si>
    <t>MSSout</t>
  </si>
  <si>
    <t>2020 is the first year that Fuel Cell certificates have transferred between states (NON certificates from MA to CT). (2021 MSS certificates from CT to ME)</t>
  </si>
  <si>
    <t>NEWFOUNDLAND</t>
  </si>
  <si>
    <t>LABRADOR</t>
  </si>
  <si>
    <t>IMP (Q)</t>
  </si>
  <si>
    <t>IMP (N)</t>
  </si>
  <si>
    <t>IMP (L)</t>
  </si>
  <si>
    <t>System Mix</t>
  </si>
  <si>
    <t>GHG Emission Factors (EFs) for Massachusetts Retail Seller GHG Reporting (before and after Retail Seller claiming specific generation)</t>
  </si>
  <si>
    <r>
      <t>The</t>
    </r>
    <r>
      <rPr>
        <b/>
        <sz val="10"/>
        <color indexed="8"/>
        <rFont val="Calibri (Body)"/>
      </rPr>
      <t xml:space="preserve"> Summary Tables </t>
    </r>
    <r>
      <rPr>
        <sz val="10"/>
        <color indexed="8"/>
        <rFont val="Calibri (Body)"/>
      </rPr>
      <t>[D14:Q17] include the Initial Emission Factors Summary Table [D14:G17], the Retail Seller MWh and GHGs [I14:L17] and the Final Emissions Factors Summary Table [N14:Q17].</t>
    </r>
  </si>
  <si>
    <r>
      <t>The</t>
    </r>
    <r>
      <rPr>
        <b/>
        <sz val="10"/>
        <color indexed="8"/>
        <rFont val="Calibri (Body)"/>
      </rPr>
      <t xml:space="preserve"> Initial Emissions Factor Summary Table </t>
    </r>
    <r>
      <rPr>
        <sz val="10"/>
        <color indexed="8"/>
        <rFont val="Calibri (Body)"/>
      </rPr>
      <t>[D14:G17] summarizes the initial Massachusetts-based and Regional non-biogenic and biogenic CO2e emission rates for Massachusetts retail sellers of electricity in pounds of CO2e per MWh, after accounting for all GIS certificates.</t>
    </r>
  </si>
  <si>
    <r>
      <rPr>
        <b/>
        <sz val="10"/>
        <color indexed="8"/>
        <rFont val="Calibri (Body)"/>
      </rPr>
      <t xml:space="preserve">Specific Generation from Massachusetts Retail Sellers: MWh and GHGs </t>
    </r>
    <r>
      <rPr>
        <sz val="10"/>
        <color indexed="8"/>
        <rFont val="Calibri (Body)"/>
      </rPr>
      <t>[I13:L17] summarizes the specific MWh and non-biogenic and biogenic CO2e emissions claimed by retail sellers in their GHG tabs and optional AQ31 reports.</t>
    </r>
  </si>
  <si>
    <r>
      <t xml:space="preserve">The </t>
    </r>
    <r>
      <rPr>
        <b/>
        <sz val="10"/>
        <color indexed="8"/>
        <rFont val="Calibri (Body)"/>
      </rPr>
      <t>Final Emissions Factor Summary Table</t>
    </r>
    <r>
      <rPr>
        <sz val="10"/>
        <color indexed="8"/>
        <rFont val="Calibri (Body)"/>
      </rPr>
      <t xml:space="preserve"> [N14:Q17] summarizes the Final EFs that would be used for Retail Seller emissions reporting. It shows the EFs after removing MA retail seller specific claims in the Retail Seller MWh and GHGs Summary Table from the Initial EFs.</t>
    </r>
  </si>
  <si>
    <r>
      <rPr>
        <b/>
        <sz val="10"/>
        <rFont val="Calibri"/>
        <family val="2"/>
      </rPr>
      <t>MWh:</t>
    </r>
    <r>
      <rPr>
        <sz val="10"/>
        <rFont val="Calibri"/>
        <family val="2"/>
      </rPr>
      <t xml:space="preserve">  Displays generation and load for each ISO-New England state, and imports from outside ISO-NE, adjusted by GIS certificates.  Calculates power exported from states and provinces, and Massachusetts' share of this exported power. Also displays specific generation reported by MA retail sellers.</t>
    </r>
  </si>
  <si>
    <r>
      <rPr>
        <b/>
        <sz val="10"/>
        <rFont val="Calibri"/>
        <family val="2"/>
      </rPr>
      <t>lb CO2e/MWh:</t>
    </r>
    <r>
      <rPr>
        <sz val="10"/>
        <rFont val="Calibri"/>
        <family val="2"/>
      </rPr>
      <t xml:space="preserve">  Calculates MA-Based and Regional Emission Rates from Electricity Consumption Emissions (including for GIS certificates) and Electric Load (including GIS certificates and pumping).</t>
    </r>
  </si>
  <si>
    <t>Initial Emission Factors
 Summary Table</t>
  </si>
  <si>
    <t>These values are used for the initial GHG emission factors in MA Retail Seller GHG reporting.</t>
  </si>
  <si>
    <t>GHG Emission Factors accounting for all GIS certificates
(lb CO2e/MWh)</t>
  </si>
  <si>
    <t>Massachusetts-Based</t>
  </si>
  <si>
    <t>Regional</t>
  </si>
  <si>
    <t xml:space="preserve">Specific Generation from Massachusetts Retail Sellers: MWh and GHGs </t>
  </si>
  <si>
    <t>Fom Municipal Electric Departments &amp; Light Boards
(AQ31)</t>
  </si>
  <si>
    <t>From Competitive Suppliers &amp; Electric Utilities
(GHG tab)</t>
  </si>
  <si>
    <t>FINAL Emission Factors
Summary Table</t>
  </si>
  <si>
    <t>GHG Emission Factors after accounting for Massachusetts Retail Seller's specific GIS certificates
(lb CO2e/MWh)</t>
  </si>
  <si>
    <t>MWh</t>
  </si>
  <si>
    <t>These are the emission factors to be used for MA Retail Seller GHG reporting.</t>
  </si>
  <si>
    <t>Massachusetts-
Based</t>
  </si>
  <si>
    <t>Non-Biogenic CO2e (lb)</t>
  </si>
  <si>
    <t>Biogenic CO2e (lb)</t>
  </si>
  <si>
    <t>2021 (draft data)</t>
  </si>
  <si>
    <t>NOTE: 2021 923</t>
  </si>
  <si>
    <t>WEIGHTED AVG HEAT RATE</t>
  </si>
  <si>
    <t>Quebec, Newfoundland and Labrador (through Quebec) Fuels Adding to Total CO2e</t>
  </si>
  <si>
    <t>Quebec, Newfoundland and Labrador - Total CO2e</t>
  </si>
  <si>
    <t>Q, N, L</t>
  </si>
  <si>
    <t>From Q, N and L</t>
  </si>
  <si>
    <t>From QUEBEC, NEWFOUNDLAND and LABRADOR</t>
  </si>
  <si>
    <t>BIOGENIC CO2</t>
  </si>
  <si>
    <t xml:space="preserve"> (pounds of CO2e)</t>
  </si>
  <si>
    <t>% non-biogenic CO2</t>
  </si>
  <si>
    <t>% biogenic CO2</t>
  </si>
  <si>
    <t xml:space="preserve">https://www.epa.gov/ghgreporting </t>
  </si>
  <si>
    <t>EIA Form 923, EPA Part 75 and EPA GHGRP</t>
  </si>
  <si>
    <t>Emissions are calculated for each state using emissions data from 'EPA Part 75 &amp; GHGRP' tabs, wherever possible, or MMBTU data from the 'EIA Form 923' combined with Global Warming Potentials (GWP) and fuel-specific emissions factors on the "GWPs &amp; Fuel EFs' tab.</t>
  </si>
  <si>
    <r>
      <t>*</t>
    </r>
    <r>
      <rPr>
        <sz val="10"/>
        <color theme="9" tint="0.39997558519241921"/>
        <rFont val="Arial"/>
        <family val="2"/>
      </rPr>
      <t xml:space="preserve">EPA GHGRP </t>
    </r>
    <r>
      <rPr>
        <sz val="10"/>
        <rFont val="Arial"/>
        <family val="2"/>
      </rPr>
      <t>trash split</t>
    </r>
  </si>
  <si>
    <t>% MSN &amp; % MSB</t>
  </si>
  <si>
    <t>This value is obtained from the AQ31 Reports (and DPU returns) filed for 2021.</t>
  </si>
  <si>
    <t>EPA Greenhouse Gas Reporting Program (GHGRP) solid waste combustion emissions</t>
  </si>
  <si>
    <t>The % of biogenic and non-biogenic CO2 emissions is also used as the 'trash split' in the calculation of emissions from MSN and MSB from GIS certificates from CT and MA  on the 'GIS Heat Input' tab.</t>
  </si>
  <si>
    <t>metric tons to pounds conversion value</t>
  </si>
  <si>
    <t xml:space="preserve"> metric tons of CO2e reported</t>
  </si>
  <si>
    <t>GHG emissions reported to EPA's GHGRP are used to calculate solid waste emissions from (non-cogen) electric generation facilities in CT and MA in place of Form 923 data.</t>
  </si>
  <si>
    <t>https://campd.epa.gov/</t>
  </si>
  <si>
    <t>See the 'EIA Form 923 data' tab and the 'EPA Part 75 &amp; GHGRP' tab (from MA and CT) for the determination of MSN (non-biogenic)/MSB (biogenic) split for Municipal Solid Waste &amp; Trash-to-Energy.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</si>
</sst>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3" formatCode="_(* #,##0.00_);_(* \(#,##0.00\);_(* &quot;-&quot;??_);_(@_)"/>
    <numFmt numFmtId="164" formatCode="#,##0.000"/>
    <numFmt numFmtId="165" formatCode="_(* #,##0.0_);_(* \(#,##0.0\);_(* &quot;-&quot;??_);_(@_)"/>
    <numFmt numFmtId="166" formatCode="_(* #,##0_);_(* \(#,##0\);_(* &quot;-&quot;??_);_(@_)"/>
    <numFmt numFmtId="167" formatCode="0.0%"/>
    <numFmt numFmtId="168" formatCode="#,##0.0"/>
    <numFmt numFmtId="169" formatCode="#,##0.0000"/>
    <numFmt numFmtId="170" formatCode="0.0000"/>
    <numFmt numFmtId="171" formatCode="0.000"/>
    <numFmt numFmtId="172" formatCode="0.0"/>
    <numFmt numFmtId="173" formatCode="_(* #,##0.0_);_(* \(#,##0.0\);_(* &quot;-&quot;?_);_(@_)"/>
    <numFmt numFmtId="174" formatCode="#,##0.0_);[Red]\(#,##0.0\)"/>
    <numFmt numFmtId="175" formatCode="0.00000"/>
    <numFmt numFmtId="176" formatCode="#,##0.000000"/>
  </numFmts>
  <fonts count="123">
    <font>
      <sz val="10"/>
      <name val="Arial"/>
    </font>
    <font>
      <sz val="10"/>
      <name val="Arial"/>
      <family val="2"/>
    </font>
    <font>
      <b/>
      <sz val="12"/>
      <name val="Arial"/>
      <family val="2"/>
    </font>
    <font>
      <sz val="10"/>
      <color indexed="8"/>
      <name val="Arial"/>
      <family val="2"/>
    </font>
    <font>
      <sz val="10"/>
      <name val="Arial"/>
      <family val="2"/>
    </font>
    <font>
      <sz val="8"/>
      <name val="Arial"/>
      <family val="2"/>
    </font>
    <font>
      <u/>
      <sz val="10"/>
      <color indexed="12"/>
      <name val="Arial"/>
      <family val="2"/>
    </font>
    <font>
      <sz val="8"/>
      <name val="Arial"/>
      <family val="2"/>
    </font>
    <font>
      <b/>
      <sz val="10"/>
      <name val="Arial"/>
      <family val="2"/>
    </font>
    <font>
      <b/>
      <sz val="11"/>
      <color indexed="8"/>
      <name val="Calibri"/>
      <family val="2"/>
    </font>
    <font>
      <sz val="11"/>
      <color indexed="8"/>
      <name val="Calibri"/>
      <family val="2"/>
    </font>
    <font>
      <sz val="11"/>
      <color indexed="10"/>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u/>
      <sz val="10"/>
      <name val="Arial"/>
      <family val="2"/>
    </font>
    <font>
      <b/>
      <sz val="12"/>
      <color indexed="8"/>
      <name val="Arial"/>
      <family val="2"/>
    </font>
    <font>
      <b/>
      <sz val="10"/>
      <color indexed="8"/>
      <name val="Arial"/>
      <family val="2"/>
    </font>
    <font>
      <sz val="9"/>
      <name val="Arial"/>
      <family val="2"/>
    </font>
    <font>
      <b/>
      <sz val="9"/>
      <name val="Arial"/>
      <family val="2"/>
    </font>
    <font>
      <sz val="8"/>
      <color indexed="8"/>
      <name val="Arial"/>
      <family val="2"/>
    </font>
    <font>
      <b/>
      <sz val="11"/>
      <name val="Arial"/>
      <family val="2"/>
    </font>
    <font>
      <b/>
      <sz val="12"/>
      <color indexed="30"/>
      <name val="Arial"/>
      <family val="2"/>
    </font>
    <font>
      <b/>
      <sz val="9"/>
      <color indexed="61"/>
      <name val="Arial"/>
      <family val="2"/>
    </font>
    <font>
      <b/>
      <sz val="10"/>
      <color indexed="8"/>
      <name val="Arial"/>
      <family val="2"/>
    </font>
    <font>
      <b/>
      <u/>
      <sz val="10"/>
      <name val="Arial"/>
      <family val="2"/>
    </font>
    <font>
      <b/>
      <u/>
      <sz val="12"/>
      <name val="Arial"/>
      <family val="2"/>
    </font>
    <font>
      <sz val="12"/>
      <name val="Arial"/>
      <family val="2"/>
    </font>
    <font>
      <i/>
      <u/>
      <sz val="10"/>
      <name val="Arial"/>
      <family val="2"/>
    </font>
    <font>
      <sz val="10"/>
      <name val="Calibri"/>
      <family val="2"/>
    </font>
    <font>
      <b/>
      <sz val="10"/>
      <name val="Calibri"/>
      <family val="2"/>
    </font>
    <font>
      <sz val="11"/>
      <color indexed="8"/>
      <name val="Arial"/>
      <family val="2"/>
    </font>
    <font>
      <sz val="11"/>
      <name val="Arial"/>
      <family val="2"/>
    </font>
    <font>
      <b/>
      <sz val="8"/>
      <name val="Arial"/>
      <family val="2"/>
    </font>
    <font>
      <b/>
      <sz val="11"/>
      <color indexed="53"/>
      <name val="Arial"/>
      <family val="2"/>
    </font>
    <font>
      <b/>
      <sz val="11"/>
      <color indexed="55"/>
      <name val="Arial"/>
      <family val="2"/>
    </font>
    <font>
      <sz val="9"/>
      <color indexed="81"/>
      <name val="Tahoma"/>
      <family val="2"/>
    </font>
    <font>
      <b/>
      <sz val="9"/>
      <color indexed="81"/>
      <name val="Tahoma"/>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rgb="FFFF0000"/>
      <name val="Arial"/>
      <family val="2"/>
    </font>
    <font>
      <sz val="11"/>
      <name val="Calibri"/>
      <family val="2"/>
      <scheme val="minor"/>
    </font>
    <font>
      <b/>
      <sz val="10"/>
      <color rgb="FF0000FF"/>
      <name val="Arial"/>
      <family val="2"/>
    </font>
    <font>
      <sz val="16"/>
      <color rgb="FFFF0000"/>
      <name val="Arial"/>
      <family val="2"/>
    </font>
    <font>
      <sz val="10"/>
      <color theme="3" tint="0.39997558519241921"/>
      <name val="Arial"/>
      <family val="2"/>
    </font>
    <font>
      <b/>
      <sz val="11"/>
      <name val="Calibri"/>
      <family val="2"/>
      <scheme val="minor"/>
    </font>
    <font>
      <sz val="9"/>
      <color rgb="FFFF0000"/>
      <name val="Arial"/>
      <family val="2"/>
    </font>
    <font>
      <sz val="10"/>
      <name val="Calibri"/>
      <family val="2"/>
      <scheme val="minor"/>
    </font>
    <font>
      <b/>
      <u/>
      <sz val="10"/>
      <color rgb="FFFF0000"/>
      <name val="Arial"/>
      <family val="2"/>
    </font>
    <font>
      <sz val="8"/>
      <name val="Calibri"/>
      <family val="2"/>
      <scheme val="minor"/>
    </font>
    <font>
      <b/>
      <sz val="10"/>
      <color rgb="FFFF0000"/>
      <name val="Arial"/>
      <family val="2"/>
    </font>
    <font>
      <u/>
      <sz val="10"/>
      <color rgb="FFFF0000"/>
      <name val="Arial"/>
      <family val="2"/>
    </font>
    <font>
      <sz val="10"/>
      <color theme="0" tint="-0.34998626667073579"/>
      <name val="Arial"/>
      <family val="2"/>
    </font>
    <font>
      <b/>
      <sz val="12"/>
      <name val="Calibri"/>
      <family val="2"/>
      <scheme val="minor"/>
    </font>
    <font>
      <b/>
      <u/>
      <sz val="12"/>
      <color indexed="8"/>
      <name val="Calibri"/>
      <family val="2"/>
      <scheme val="minor"/>
    </font>
    <font>
      <i/>
      <sz val="11"/>
      <color indexed="8"/>
      <name val="Calibri"/>
      <family val="2"/>
      <scheme val="minor"/>
    </font>
    <font>
      <sz val="10"/>
      <color rgb="FFFF0000"/>
      <name val="Calibri"/>
      <family val="2"/>
      <scheme val="minor"/>
    </font>
    <font>
      <sz val="10"/>
      <color theme="7"/>
      <name val="Calibri"/>
      <family val="2"/>
      <scheme val="minor"/>
    </font>
    <font>
      <sz val="10"/>
      <color theme="5" tint="-0.249977111117893"/>
      <name val="Calibri"/>
      <family val="2"/>
      <scheme val="minor"/>
    </font>
    <font>
      <b/>
      <sz val="10"/>
      <color rgb="FFFF0000"/>
      <name val="Calibri"/>
      <family val="2"/>
      <scheme val="minor"/>
    </font>
    <font>
      <b/>
      <sz val="10"/>
      <color indexed="8"/>
      <name val="Calibri"/>
      <family val="2"/>
      <scheme val="minor"/>
    </font>
    <font>
      <sz val="10"/>
      <color indexed="8"/>
      <name val="Calibri"/>
      <family val="2"/>
      <scheme val="minor"/>
    </font>
    <font>
      <b/>
      <sz val="10"/>
      <name val="Calibri"/>
      <family val="2"/>
      <scheme val="minor"/>
    </font>
    <font>
      <b/>
      <sz val="8"/>
      <color indexed="8"/>
      <name val="Calibri"/>
      <family val="2"/>
      <scheme val="minor"/>
    </font>
    <font>
      <b/>
      <sz val="8"/>
      <name val="Calibri"/>
      <family val="2"/>
      <scheme val="minor"/>
    </font>
    <font>
      <b/>
      <sz val="10"/>
      <color rgb="FF0000FF"/>
      <name val="Calibri"/>
      <family val="2"/>
      <scheme val="minor"/>
    </font>
    <font>
      <sz val="8"/>
      <color rgb="FFFF0000"/>
      <name val="Calibri"/>
      <family val="2"/>
      <scheme val="minor"/>
    </font>
    <font>
      <b/>
      <sz val="11"/>
      <color indexed="8"/>
      <name val="Calibri"/>
      <family val="2"/>
      <scheme val="minor"/>
    </font>
    <font>
      <sz val="10"/>
      <color theme="7" tint="-0.249977111117893"/>
      <name val="Calibri"/>
      <family val="2"/>
      <scheme val="minor"/>
    </font>
    <font>
      <sz val="8"/>
      <color indexed="8"/>
      <name val="Calibri"/>
      <family val="2"/>
      <scheme val="minor"/>
    </font>
    <font>
      <sz val="11"/>
      <color indexed="10"/>
      <name val="Calibri"/>
      <family val="2"/>
      <scheme val="minor"/>
    </font>
    <font>
      <sz val="10"/>
      <color theme="6" tint="-0.499984740745262"/>
      <name val="Arial"/>
      <family val="2"/>
    </font>
    <font>
      <sz val="11"/>
      <color rgb="FF000000"/>
      <name val="Arial"/>
      <family val="2"/>
    </font>
    <font>
      <b/>
      <sz val="10"/>
      <color theme="1"/>
      <name val="Arial"/>
      <family val="2"/>
    </font>
    <font>
      <sz val="11"/>
      <color rgb="FFFF0000"/>
      <name val="Arial"/>
      <family val="2"/>
    </font>
    <font>
      <b/>
      <sz val="11"/>
      <color rgb="FFFF0000"/>
      <name val="Arial"/>
      <family val="2"/>
    </font>
    <font>
      <b/>
      <sz val="11"/>
      <color theme="1"/>
      <name val="Arial"/>
      <family val="2"/>
    </font>
    <font>
      <sz val="11"/>
      <color theme="1"/>
      <name val="Arial"/>
      <family val="2"/>
    </font>
    <font>
      <sz val="10"/>
      <color theme="0"/>
      <name val="Arial"/>
      <family val="2"/>
    </font>
    <font>
      <sz val="10"/>
      <color theme="1"/>
      <name val="Arial"/>
      <family val="2"/>
    </font>
    <font>
      <b/>
      <sz val="16"/>
      <color theme="0" tint="-0.499984740745262"/>
      <name val="Calibri"/>
      <family val="2"/>
      <scheme val="minor"/>
    </font>
    <font>
      <u/>
      <sz val="10"/>
      <color theme="3" tint="-0.249977111117893"/>
      <name val="Arial"/>
      <family val="2"/>
    </font>
    <font>
      <b/>
      <sz val="16"/>
      <name val="Calibri"/>
      <family val="2"/>
      <scheme val="minor"/>
    </font>
    <font>
      <i/>
      <sz val="10"/>
      <name val="Calibri"/>
      <family val="2"/>
      <scheme val="minor"/>
    </font>
    <font>
      <sz val="10"/>
      <color indexed="8"/>
      <name val="Arial"/>
      <family val="2"/>
    </font>
    <font>
      <b/>
      <sz val="12"/>
      <color indexed="30"/>
      <name val="Arial"/>
      <family val="2"/>
    </font>
    <font>
      <sz val="11"/>
      <color rgb="FF000000"/>
      <name val="Calibri"/>
      <family val="2"/>
    </font>
    <font>
      <sz val="11"/>
      <color rgb="FF000000"/>
      <name val="Calibri"/>
      <family val="2"/>
      <scheme val="minor"/>
    </font>
    <font>
      <b/>
      <sz val="11"/>
      <color rgb="FF000000"/>
      <name val="Calibri"/>
      <family val="2"/>
      <scheme val="minor"/>
    </font>
    <font>
      <sz val="10"/>
      <color theme="1"/>
      <name val="Calibri (Body)"/>
    </font>
    <font>
      <b/>
      <sz val="10"/>
      <color indexed="8"/>
      <name val="Calibri (Body)"/>
    </font>
    <font>
      <sz val="10"/>
      <color indexed="8"/>
      <name val="Calibri (Body)"/>
    </font>
    <font>
      <b/>
      <i/>
      <sz val="10"/>
      <name val="Calibri"/>
      <family val="2"/>
      <scheme val="minor"/>
    </font>
    <font>
      <i/>
      <sz val="10"/>
      <name val="Arial"/>
      <family val="2"/>
    </font>
    <font>
      <sz val="10"/>
      <color theme="9" tint="0.39997558519241921"/>
      <name val="Arial"/>
      <family val="2"/>
    </font>
  </fonts>
  <fills count="78">
    <fill>
      <patternFill patternType="none"/>
    </fill>
    <fill>
      <patternFill patternType="gray125"/>
    </fill>
    <fill>
      <patternFill patternType="solid">
        <fgColor indexed="9"/>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solid">
        <fgColor indexed="23"/>
        <bgColor indexed="64"/>
      </patternFill>
    </fill>
    <fill>
      <patternFill patternType="solid">
        <fgColor indexed="65"/>
        <bgColor indexed="64"/>
      </patternFill>
    </fill>
    <fill>
      <patternFill patternType="solid">
        <fgColor indexed="4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00"/>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rgb="FFFFFFFF"/>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rgb="FFCFEAF7"/>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1" tint="0.249977111117893"/>
        <bgColor indexed="64"/>
      </patternFill>
    </fill>
    <fill>
      <patternFill patternType="solid">
        <fgColor rgb="FFCCFFFF"/>
        <bgColor indexed="64"/>
      </patternFill>
    </fill>
    <fill>
      <patternFill patternType="solid">
        <fgColor rgb="FF00FF00"/>
        <bgColor indexed="64"/>
      </patternFill>
    </fill>
    <fill>
      <patternFill patternType="solid">
        <fgColor theme="8" tint="0.59999389629810485"/>
        <bgColor indexed="64"/>
      </patternFill>
    </fill>
    <fill>
      <patternFill patternType="solid">
        <fgColor theme="9"/>
        <bgColor indexed="64"/>
      </patternFill>
    </fill>
    <fill>
      <patternFill patternType="solid">
        <fgColor theme="0" tint="-0.34998626667073579"/>
        <bgColor indexed="64"/>
      </patternFill>
    </fill>
    <fill>
      <patternFill patternType="solid">
        <fgColor theme="2"/>
        <bgColor indexed="64"/>
      </patternFill>
    </fill>
    <fill>
      <patternFill patternType="solid">
        <fgColor theme="1" tint="0.499984740745262"/>
        <bgColor indexed="64"/>
      </patternFill>
    </fill>
    <fill>
      <patternFill patternType="solid">
        <fgColor theme="9" tint="0.59999389629810485"/>
        <bgColor indexed="64"/>
      </patternFill>
    </fill>
  </fills>
  <borders count="7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101">
    <xf numFmtId="0" fontId="0" fillId="0" borderId="0"/>
    <xf numFmtId="0" fontId="10" fillId="2" borderId="0" applyNumberFormat="0" applyBorder="0" applyAlignment="0" applyProtection="0"/>
    <xf numFmtId="0" fontId="50" fillId="21" borderId="0" applyNumberFormat="0" applyBorder="0" applyAlignment="0" applyProtection="0"/>
    <xf numFmtId="0" fontId="10" fillId="3" borderId="0" applyNumberFormat="0" applyBorder="0" applyAlignment="0" applyProtection="0"/>
    <xf numFmtId="0" fontId="50" fillId="22" borderId="0" applyNumberFormat="0" applyBorder="0" applyAlignment="0" applyProtection="0"/>
    <xf numFmtId="0" fontId="10" fillId="5" borderId="0" applyNumberFormat="0" applyBorder="0" applyAlignment="0" applyProtection="0"/>
    <xf numFmtId="0" fontId="50" fillId="23" borderId="0" applyNumberFormat="0" applyBorder="0" applyAlignment="0" applyProtection="0"/>
    <xf numFmtId="0" fontId="10" fillId="2" borderId="0" applyNumberFormat="0" applyBorder="0" applyAlignment="0" applyProtection="0"/>
    <xf numFmtId="0" fontId="50" fillId="24" borderId="0" applyNumberFormat="0" applyBorder="0" applyAlignment="0" applyProtection="0"/>
    <xf numFmtId="0" fontId="10" fillId="7" borderId="0" applyNumberFormat="0" applyBorder="0" applyAlignment="0" applyProtection="0"/>
    <xf numFmtId="0" fontId="50" fillId="25" borderId="0" applyNumberFormat="0" applyBorder="0" applyAlignment="0" applyProtection="0"/>
    <xf numFmtId="0" fontId="10" fillId="3" borderId="0" applyNumberFormat="0" applyBorder="0" applyAlignment="0" applyProtection="0"/>
    <xf numFmtId="0" fontId="50" fillId="26" borderId="0" applyNumberFormat="0" applyBorder="0" applyAlignment="0" applyProtection="0"/>
    <xf numFmtId="0" fontId="10" fillId="8" borderId="0" applyNumberFormat="0" applyBorder="0" applyAlignment="0" applyProtection="0"/>
    <xf numFmtId="0" fontId="50" fillId="27" borderId="0" applyNumberFormat="0" applyBorder="0" applyAlignment="0" applyProtection="0"/>
    <xf numFmtId="0" fontId="10" fillId="10" borderId="0" applyNumberFormat="0" applyBorder="0" applyAlignment="0" applyProtection="0"/>
    <xf numFmtId="0" fontId="50" fillId="28" borderId="0" applyNumberFormat="0" applyBorder="0" applyAlignment="0" applyProtection="0"/>
    <xf numFmtId="0" fontId="10" fillId="11" borderId="0" applyNumberFormat="0" applyBorder="0" applyAlignment="0" applyProtection="0"/>
    <xf numFmtId="0" fontId="50" fillId="29" borderId="0" applyNumberFormat="0" applyBorder="0" applyAlignment="0" applyProtection="0"/>
    <xf numFmtId="0" fontId="10" fillId="8" borderId="0" applyNumberFormat="0" applyBorder="0" applyAlignment="0" applyProtection="0"/>
    <xf numFmtId="0" fontId="50" fillId="30" borderId="0" applyNumberFormat="0" applyBorder="0" applyAlignment="0" applyProtection="0"/>
    <xf numFmtId="0" fontId="10" fillId="9" borderId="0" applyNumberFormat="0" applyBorder="0" applyAlignment="0" applyProtection="0"/>
    <xf numFmtId="0" fontId="50" fillId="31" borderId="0" applyNumberFormat="0" applyBorder="0" applyAlignment="0" applyProtection="0"/>
    <xf numFmtId="0" fontId="10" fillId="3" borderId="0" applyNumberFormat="0" applyBorder="0" applyAlignment="0" applyProtection="0"/>
    <xf numFmtId="0" fontId="50" fillId="32" borderId="0" applyNumberFormat="0" applyBorder="0" applyAlignment="0" applyProtection="0"/>
    <xf numFmtId="0" fontId="12" fillId="12" borderId="0" applyNumberFormat="0" applyBorder="0" applyAlignment="0" applyProtection="0"/>
    <xf numFmtId="0" fontId="51" fillId="33" borderId="0" applyNumberFormat="0" applyBorder="0" applyAlignment="0" applyProtection="0"/>
    <xf numFmtId="0" fontId="12" fillId="10" borderId="0" applyNumberFormat="0" applyBorder="0" applyAlignment="0" applyProtection="0"/>
    <xf numFmtId="0" fontId="51" fillId="34" borderId="0" applyNumberFormat="0" applyBorder="0" applyAlignment="0" applyProtection="0"/>
    <xf numFmtId="0" fontId="12" fillId="11" borderId="0" applyNumberFormat="0" applyBorder="0" applyAlignment="0" applyProtection="0"/>
    <xf numFmtId="0" fontId="51" fillId="35" borderId="0" applyNumberFormat="0" applyBorder="0" applyAlignment="0" applyProtection="0"/>
    <xf numFmtId="0" fontId="12" fillId="8" borderId="0" applyNumberFormat="0" applyBorder="0" applyAlignment="0" applyProtection="0"/>
    <xf numFmtId="0" fontId="51" fillId="36" borderId="0" applyNumberFormat="0" applyBorder="0" applyAlignment="0" applyProtection="0"/>
    <xf numFmtId="0" fontId="12" fillId="12" borderId="0" applyNumberFormat="0" applyBorder="0" applyAlignment="0" applyProtection="0"/>
    <xf numFmtId="0" fontId="51" fillId="37" borderId="0" applyNumberFormat="0" applyBorder="0" applyAlignment="0" applyProtection="0"/>
    <xf numFmtId="0" fontId="12" fillId="3" borderId="0" applyNumberFormat="0" applyBorder="0" applyAlignment="0" applyProtection="0"/>
    <xf numFmtId="0" fontId="51" fillId="38" borderId="0" applyNumberFormat="0" applyBorder="0" applyAlignment="0" applyProtection="0"/>
    <xf numFmtId="0" fontId="12" fillId="12" borderId="0" applyNumberFormat="0" applyBorder="0" applyAlignment="0" applyProtection="0"/>
    <xf numFmtId="0" fontId="51" fillId="39" borderId="0" applyNumberFormat="0" applyBorder="0" applyAlignment="0" applyProtection="0"/>
    <xf numFmtId="0" fontId="12" fillId="13" borderId="0" applyNumberFormat="0" applyBorder="0" applyAlignment="0" applyProtection="0"/>
    <xf numFmtId="0" fontId="51" fillId="40" borderId="0" applyNumberFormat="0" applyBorder="0" applyAlignment="0" applyProtection="0"/>
    <xf numFmtId="0" fontId="12" fillId="14" borderId="0" applyNumberFormat="0" applyBorder="0" applyAlignment="0" applyProtection="0"/>
    <xf numFmtId="0" fontId="51" fillId="41" borderId="0" applyNumberFormat="0" applyBorder="0" applyAlignment="0" applyProtection="0"/>
    <xf numFmtId="0" fontId="12" fillId="15" borderId="0" applyNumberFormat="0" applyBorder="0" applyAlignment="0" applyProtection="0"/>
    <xf numFmtId="0" fontId="51" fillId="42" borderId="0" applyNumberFormat="0" applyBorder="0" applyAlignment="0" applyProtection="0"/>
    <xf numFmtId="0" fontId="12" fillId="12" borderId="0" applyNumberFormat="0" applyBorder="0" applyAlignment="0" applyProtection="0"/>
    <xf numFmtId="0" fontId="51" fillId="43" borderId="0" applyNumberFormat="0" applyBorder="0" applyAlignment="0" applyProtection="0"/>
    <xf numFmtId="0" fontId="12" fillId="16" borderId="0" applyNumberFormat="0" applyBorder="0" applyAlignment="0" applyProtection="0"/>
    <xf numFmtId="0" fontId="51" fillId="44" borderId="0" applyNumberFormat="0" applyBorder="0" applyAlignment="0" applyProtection="0"/>
    <xf numFmtId="0" fontId="13" fillId="4" borderId="0" applyNumberFormat="0" applyBorder="0" applyAlignment="0" applyProtection="0"/>
    <xf numFmtId="0" fontId="52" fillId="45" borderId="0" applyNumberFormat="0" applyBorder="0" applyAlignment="0" applyProtection="0"/>
    <xf numFmtId="0" fontId="14" fillId="2" borderId="1" applyNumberFormat="0" applyAlignment="0" applyProtection="0"/>
    <xf numFmtId="0" fontId="53" fillId="46" borderId="67" applyNumberFormat="0" applyAlignment="0" applyProtection="0"/>
    <xf numFmtId="0" fontId="15" fillId="17" borderId="2" applyNumberFormat="0" applyAlignment="0" applyProtection="0"/>
    <xf numFmtId="0" fontId="54" fillId="47" borderId="68" applyNumberFormat="0" applyAlignment="0" applyProtection="0"/>
    <xf numFmtId="43" fontId="1" fillId="0" borderId="0" applyFont="0" applyFill="0" applyBorder="0" applyAlignment="0" applyProtection="0"/>
    <xf numFmtId="43" fontId="4" fillId="0" borderId="0" applyFont="0" applyFill="0" applyBorder="0" applyAlignment="0" applyProtection="0"/>
    <xf numFmtId="43" fontId="5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6" fillId="0" borderId="0" applyNumberFormat="0" applyFill="0" applyBorder="0" applyAlignment="0" applyProtection="0"/>
    <xf numFmtId="0" fontId="55" fillId="0" borderId="0" applyNumberFormat="0" applyFill="0" applyBorder="0" applyAlignment="0" applyProtection="0"/>
    <xf numFmtId="0" fontId="17" fillId="6" borderId="0" applyNumberFormat="0" applyBorder="0" applyAlignment="0" applyProtection="0"/>
    <xf numFmtId="0" fontId="56" fillId="48" borderId="0" applyNumberFormat="0" applyBorder="0" applyAlignment="0" applyProtection="0"/>
    <xf numFmtId="0" fontId="18" fillId="0" borderId="3" applyNumberFormat="0" applyFill="0" applyAlignment="0" applyProtection="0"/>
    <xf numFmtId="0" fontId="57" fillId="0" borderId="69" applyNumberFormat="0" applyFill="0" applyAlignment="0" applyProtection="0"/>
    <xf numFmtId="0" fontId="19" fillId="0" borderId="4" applyNumberFormat="0" applyFill="0" applyAlignment="0" applyProtection="0"/>
    <xf numFmtId="0" fontId="58" fillId="0" borderId="70" applyNumberFormat="0" applyFill="0" applyAlignment="0" applyProtection="0"/>
    <xf numFmtId="0" fontId="20" fillId="0" borderId="5" applyNumberFormat="0" applyFill="0" applyAlignment="0" applyProtection="0"/>
    <xf numFmtId="0" fontId="59" fillId="0" borderId="71" applyNumberFormat="0" applyFill="0" applyAlignment="0" applyProtection="0"/>
    <xf numFmtId="0" fontId="20" fillId="0" borderId="0" applyNumberFormat="0" applyFill="0" applyBorder="0" applyAlignment="0" applyProtection="0"/>
    <xf numFmtId="0" fontId="59" fillId="0" borderId="0" applyNumberFormat="0" applyFill="0" applyBorder="0" applyAlignment="0" applyProtection="0"/>
    <xf numFmtId="0" fontId="6" fillId="0" borderId="0" applyNumberFormat="0" applyFill="0" applyBorder="0" applyAlignment="0" applyProtection="0">
      <alignment vertical="top"/>
      <protection locked="0"/>
    </xf>
    <xf numFmtId="0" fontId="60" fillId="0" borderId="0" applyNumberFormat="0" applyFill="0" applyBorder="0" applyAlignment="0" applyProtection="0">
      <alignment vertical="top"/>
      <protection locked="0"/>
    </xf>
    <xf numFmtId="0" fontId="21" fillId="3" borderId="1" applyNumberFormat="0" applyAlignment="0" applyProtection="0"/>
    <xf numFmtId="0" fontId="61" fillId="49" borderId="67" applyNumberFormat="0" applyAlignment="0" applyProtection="0"/>
    <xf numFmtId="0" fontId="22" fillId="0" borderId="6" applyNumberFormat="0" applyFill="0" applyAlignment="0" applyProtection="0"/>
    <xf numFmtId="0" fontId="62" fillId="0" borderId="72" applyNumberFormat="0" applyFill="0" applyAlignment="0" applyProtection="0"/>
    <xf numFmtId="0" fontId="23" fillId="11" borderId="0" applyNumberFormat="0" applyBorder="0" applyAlignment="0" applyProtection="0"/>
    <xf numFmtId="0" fontId="63" fillId="50" borderId="0" applyNumberFormat="0" applyBorder="0" applyAlignment="0" applyProtection="0"/>
    <xf numFmtId="0" fontId="50" fillId="0" borderId="0"/>
    <xf numFmtId="0" fontId="4" fillId="0" borderId="0"/>
    <xf numFmtId="0" fontId="4" fillId="0" borderId="0"/>
    <xf numFmtId="0" fontId="10" fillId="0" borderId="0"/>
    <xf numFmtId="0" fontId="10" fillId="5" borderId="7" applyNumberFormat="0" applyFont="0" applyAlignment="0" applyProtection="0"/>
    <xf numFmtId="0" fontId="50" fillId="51" borderId="73" applyNumberFormat="0" applyFont="0" applyAlignment="0" applyProtection="0"/>
    <xf numFmtId="0" fontId="24" fillId="2" borderId="8" applyNumberFormat="0" applyAlignment="0" applyProtection="0"/>
    <xf numFmtId="0" fontId="64" fillId="46" borderId="74" applyNumberFormat="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5" fillId="0" borderId="0" applyNumberFormat="0" applyFill="0" applyBorder="0" applyAlignment="0" applyProtection="0"/>
    <xf numFmtId="0" fontId="65" fillId="0" borderId="0" applyNumberFormat="0" applyFill="0" applyBorder="0" applyAlignment="0" applyProtection="0"/>
    <xf numFmtId="0" fontId="9" fillId="0" borderId="9" applyNumberFormat="0" applyFill="0" applyAlignment="0" applyProtection="0"/>
    <xf numFmtId="0" fontId="66" fillId="0" borderId="75" applyNumberFormat="0" applyFill="0" applyAlignment="0" applyProtection="0"/>
    <xf numFmtId="0" fontId="11" fillId="0" borderId="0" applyNumberFormat="0" applyFill="0" applyBorder="0" applyAlignment="0" applyProtection="0"/>
    <xf numFmtId="0" fontId="67" fillId="0" borderId="0" applyNumberFormat="0" applyFill="0" applyBorder="0" applyAlignment="0" applyProtection="0"/>
  </cellStyleXfs>
  <cellXfs count="877">
    <xf numFmtId="0" fontId="0" fillId="0" borderId="0" xfId="0"/>
    <xf numFmtId="3" fontId="0" fillId="0" borderId="0" xfId="0" applyNumberFormat="1"/>
    <xf numFmtId="0" fontId="0" fillId="0" borderId="0" xfId="0" applyAlignment="1">
      <alignment horizontal="right"/>
    </xf>
    <xf numFmtId="0" fontId="0" fillId="0" borderId="0" xfId="0" applyAlignment="1">
      <alignment horizontal="left"/>
    </xf>
    <xf numFmtId="0" fontId="0" fillId="0" borderId="10" xfId="0" applyBorder="1"/>
    <xf numFmtId="0" fontId="0" fillId="0" borderId="11" xfId="0" applyBorder="1"/>
    <xf numFmtId="0" fontId="0" fillId="0" borderId="11" xfId="0" applyBorder="1" applyAlignment="1">
      <alignment horizontal="right"/>
    </xf>
    <xf numFmtId="0" fontId="0" fillId="0" borderId="11" xfId="0" applyBorder="1" applyAlignment="1">
      <alignment horizontal="left"/>
    </xf>
    <xf numFmtId="0" fontId="0" fillId="0" borderId="12" xfId="0" applyBorder="1"/>
    <xf numFmtId="0" fontId="0" fillId="0" borderId="13" xfId="0" applyBorder="1"/>
    <xf numFmtId="0" fontId="0" fillId="0" borderId="14" xfId="0" applyBorder="1"/>
    <xf numFmtId="0" fontId="0" fillId="0" borderId="14" xfId="0" applyBorder="1" applyAlignment="1">
      <alignment horizontal="right"/>
    </xf>
    <xf numFmtId="0" fontId="0" fillId="0" borderId="0" xfId="0" applyAlignment="1">
      <alignment wrapText="1"/>
    </xf>
    <xf numFmtId="0" fontId="0" fillId="18" borderId="0" xfId="0" applyFill="1"/>
    <xf numFmtId="164" fontId="0" fillId="0" borderId="0" xfId="0" applyNumberFormat="1"/>
    <xf numFmtId="168" fontId="0" fillId="0" borderId="0" xfId="0" applyNumberFormat="1"/>
    <xf numFmtId="0" fontId="26" fillId="0" borderId="0" xfId="0" applyFont="1"/>
    <xf numFmtId="3" fontId="26" fillId="0" borderId="0" xfId="0" applyNumberFormat="1" applyFont="1"/>
    <xf numFmtId="164" fontId="0" fillId="0" borderId="0" xfId="0" applyNumberFormat="1" applyAlignment="1">
      <alignment horizontal="right"/>
    </xf>
    <xf numFmtId="164" fontId="4" fillId="0" borderId="0" xfId="0" applyNumberFormat="1" applyFont="1" applyAlignment="1">
      <alignment horizontal="right"/>
    </xf>
    <xf numFmtId="0" fontId="4" fillId="0" borderId="0" xfId="0" applyFont="1"/>
    <xf numFmtId="0" fontId="3" fillId="0" borderId="0" xfId="0" applyFont="1"/>
    <xf numFmtId="0" fontId="27" fillId="0" borderId="0" xfId="0" applyFont="1"/>
    <xf numFmtId="38" fontId="0" fillId="0" borderId="0" xfId="0" applyNumberFormat="1" applyAlignment="1">
      <alignment horizontal="right"/>
    </xf>
    <xf numFmtId="38" fontId="0" fillId="0" borderId="0" xfId="0" applyNumberFormat="1"/>
    <xf numFmtId="0" fontId="68" fillId="0" borderId="0" xfId="0" applyFont="1"/>
    <xf numFmtId="3" fontId="8" fillId="0" borderId="14" xfId="0" applyNumberFormat="1" applyFont="1" applyBorder="1"/>
    <xf numFmtId="3" fontId="8" fillId="0" borderId="15" xfId="0" applyNumberFormat="1" applyFont="1" applyBorder="1"/>
    <xf numFmtId="0" fontId="29" fillId="0" borderId="0" xfId="0" applyFont="1"/>
    <xf numFmtId="0" fontId="31" fillId="0" borderId="0" xfId="0" applyFont="1"/>
    <xf numFmtId="3" fontId="0" fillId="52" borderId="16" xfId="0" applyNumberFormat="1" applyFill="1" applyBorder="1"/>
    <xf numFmtId="3" fontId="4" fillId="52" borderId="10" xfId="0" applyNumberFormat="1" applyFont="1" applyFill="1" applyBorder="1"/>
    <xf numFmtId="3" fontId="0" fillId="52" borderId="11" xfId="0" applyNumberFormat="1" applyFill="1" applyBorder="1"/>
    <xf numFmtId="0" fontId="69" fillId="0" borderId="17" xfId="0" applyFont="1" applyBorder="1" applyAlignment="1">
      <alignment horizontal="left"/>
    </xf>
    <xf numFmtId="171" fontId="0" fillId="0" borderId="0" xfId="0" applyNumberFormat="1"/>
    <xf numFmtId="0" fontId="8" fillId="0" borderId="0" xfId="0" applyFont="1" applyAlignment="1">
      <alignment horizontal="center"/>
    </xf>
    <xf numFmtId="0" fontId="70" fillId="0" borderId="0" xfId="0" applyFont="1"/>
    <xf numFmtId="0" fontId="69" fillId="0" borderId="17" xfId="0" applyFont="1" applyBorder="1"/>
    <xf numFmtId="0" fontId="71" fillId="0" borderId="0" xfId="0" applyFont="1"/>
    <xf numFmtId="0" fontId="72" fillId="0" borderId="0" xfId="0" applyFont="1"/>
    <xf numFmtId="0" fontId="8" fillId="0" borderId="0" xfId="0" applyFont="1"/>
    <xf numFmtId="0" fontId="32" fillId="0" borderId="0" xfId="0" applyFont="1"/>
    <xf numFmtId="0" fontId="69" fillId="0" borderId="0" xfId="0" applyFont="1"/>
    <xf numFmtId="0" fontId="0" fillId="0" borderId="17" xfId="0" applyBorder="1"/>
    <xf numFmtId="166" fontId="73" fillId="0" borderId="0" xfId="55" applyNumberFormat="1" applyFont="1" applyFill="1" applyBorder="1"/>
    <xf numFmtId="38" fontId="4" fillId="0" borderId="0" xfId="0" applyNumberFormat="1" applyFont="1"/>
    <xf numFmtId="174" fontId="4" fillId="0" borderId="0" xfId="0" applyNumberFormat="1" applyFont="1"/>
    <xf numFmtId="4" fontId="70" fillId="0" borderId="0" xfId="0" applyNumberFormat="1" applyFont="1"/>
    <xf numFmtId="0" fontId="4" fillId="53" borderId="18" xfId="0" applyFont="1" applyFill="1" applyBorder="1"/>
    <xf numFmtId="0" fontId="31" fillId="0" borderId="0" xfId="0" applyFont="1" applyAlignment="1">
      <alignment wrapText="1"/>
    </xf>
    <xf numFmtId="3" fontId="0" fillId="54" borderId="11" xfId="0" applyNumberFormat="1" applyFill="1" applyBorder="1"/>
    <xf numFmtId="3" fontId="0" fillId="55" borderId="11" xfId="0" applyNumberFormat="1" applyFill="1" applyBorder="1"/>
    <xf numFmtId="174" fontId="0" fillId="55" borderId="19" xfId="0" applyNumberFormat="1" applyFill="1" applyBorder="1"/>
    <xf numFmtId="3" fontId="0" fillId="54" borderId="0" xfId="0" applyNumberFormat="1" applyFill="1"/>
    <xf numFmtId="3" fontId="0" fillId="55" borderId="0" xfId="0" applyNumberFormat="1" applyFill="1"/>
    <xf numFmtId="174" fontId="0" fillId="55" borderId="20" xfId="0" applyNumberFormat="1" applyFill="1" applyBorder="1"/>
    <xf numFmtId="3" fontId="0" fillId="0" borderId="14" xfId="0" applyNumberFormat="1" applyBorder="1"/>
    <xf numFmtId="3" fontId="0" fillId="0" borderId="15" xfId="0" applyNumberFormat="1" applyBorder="1"/>
    <xf numFmtId="0" fontId="0" fillId="0" borderId="20" xfId="0" applyBorder="1"/>
    <xf numFmtId="0" fontId="4" fillId="56" borderId="21" xfId="0" applyFont="1" applyFill="1" applyBorder="1" applyAlignment="1">
      <alignment horizontal="right"/>
    </xf>
    <xf numFmtId="174" fontId="0" fillId="56" borderId="22" xfId="0" applyNumberFormat="1" applyFill="1" applyBorder="1"/>
    <xf numFmtId="0" fontId="5" fillId="56" borderId="16" xfId="0" applyFont="1" applyFill="1" applyBorder="1" applyAlignment="1">
      <alignment horizontal="center" vertical="center" wrapText="1"/>
    </xf>
    <xf numFmtId="0" fontId="4" fillId="55" borderId="23" xfId="0" applyFont="1" applyFill="1" applyBorder="1" applyAlignment="1">
      <alignment vertical="center" wrapText="1"/>
    </xf>
    <xf numFmtId="0" fontId="8" fillId="55" borderId="23" xfId="0" applyFont="1" applyFill="1" applyBorder="1" applyAlignment="1">
      <alignment wrapText="1"/>
    </xf>
    <xf numFmtId="0" fontId="4" fillId="0" borderId="24" xfId="0" applyFont="1" applyBorder="1"/>
    <xf numFmtId="0" fontId="8" fillId="0" borderId="25" xfId="0" applyFont="1" applyBorder="1"/>
    <xf numFmtId="0" fontId="30" fillId="0" borderId="0" xfId="0" applyFont="1" applyAlignment="1">
      <alignment wrapText="1"/>
    </xf>
    <xf numFmtId="0" fontId="2" fillId="57" borderId="0" xfId="0" applyFont="1" applyFill="1"/>
    <xf numFmtId="0" fontId="8" fillId="57" borderId="0" xfId="0" applyFont="1" applyFill="1" applyAlignment="1">
      <alignment horizontal="center" wrapText="1"/>
    </xf>
    <xf numFmtId="0" fontId="8" fillId="57" borderId="0" xfId="0" applyFont="1" applyFill="1" applyAlignment="1">
      <alignment wrapText="1"/>
    </xf>
    <xf numFmtId="3" fontId="8" fillId="57" borderId="0" xfId="0" applyNumberFormat="1" applyFont="1" applyFill="1" applyAlignment="1">
      <alignment wrapText="1"/>
    </xf>
    <xf numFmtId="0" fontId="0" fillId="57" borderId="0" xfId="0" applyFill="1"/>
    <xf numFmtId="3" fontId="4" fillId="57" borderId="0" xfId="0" applyNumberFormat="1" applyFont="1" applyFill="1" applyAlignment="1">
      <alignment wrapText="1"/>
    </xf>
    <xf numFmtId="3" fontId="0" fillId="57" borderId="0" xfId="0" applyNumberFormat="1" applyFill="1"/>
    <xf numFmtId="0" fontId="8" fillId="57" borderId="0" xfId="0" applyFont="1" applyFill="1"/>
    <xf numFmtId="0" fontId="0" fillId="57" borderId="0" xfId="0" applyFill="1" applyAlignment="1">
      <alignment horizontal="right"/>
    </xf>
    <xf numFmtId="4" fontId="0" fillId="57" borderId="0" xfId="0" applyNumberFormat="1" applyFill="1"/>
    <xf numFmtId="0" fontId="30" fillId="0" borderId="0" xfId="0" applyFont="1" applyAlignment="1">
      <alignment horizontal="center"/>
    </xf>
    <xf numFmtId="0" fontId="29" fillId="0" borderId="0" xfId="0" applyFont="1" applyAlignment="1">
      <alignment wrapText="1"/>
    </xf>
    <xf numFmtId="0" fontId="30" fillId="0" borderId="0" xfId="0" applyFont="1" applyAlignment="1">
      <alignment horizontal="center" wrapText="1"/>
    </xf>
    <xf numFmtId="3" fontId="29" fillId="0" borderId="0" xfId="0" applyNumberFormat="1" applyFont="1"/>
    <xf numFmtId="0" fontId="29" fillId="0" borderId="0" xfId="0" applyFont="1" applyAlignment="1">
      <alignment horizontal="right"/>
    </xf>
    <xf numFmtId="0" fontId="29" fillId="0" borderId="0" xfId="0" applyFont="1" applyAlignment="1">
      <alignment horizontal="center"/>
    </xf>
    <xf numFmtId="3" fontId="30" fillId="0" borderId="0" xfId="0" applyNumberFormat="1" applyFont="1"/>
    <xf numFmtId="0" fontId="29" fillId="18" borderId="0" xfId="0" applyFont="1" applyFill="1"/>
    <xf numFmtId="4" fontId="29" fillId="18" borderId="0" xfId="0" applyNumberFormat="1" applyFont="1" applyFill="1"/>
    <xf numFmtId="4" fontId="29" fillId="0" borderId="0" xfId="0" applyNumberFormat="1" applyFont="1"/>
    <xf numFmtId="0" fontId="30" fillId="0" borderId="0" xfId="0" applyFont="1"/>
    <xf numFmtId="3" fontId="30" fillId="0" borderId="0" xfId="0" applyNumberFormat="1" applyFont="1" applyAlignment="1">
      <alignment wrapText="1"/>
    </xf>
    <xf numFmtId="3" fontId="74" fillId="0" borderId="0" xfId="0" applyNumberFormat="1" applyFont="1"/>
    <xf numFmtId="4" fontId="29" fillId="0" borderId="0" xfId="0" applyNumberFormat="1" applyFont="1" applyAlignment="1">
      <alignment wrapText="1"/>
    </xf>
    <xf numFmtId="4" fontId="29" fillId="0" borderId="0" xfId="0" applyNumberFormat="1" applyFont="1" applyAlignment="1">
      <alignment horizontal="right"/>
    </xf>
    <xf numFmtId="0" fontId="75" fillId="0" borderId="0" xfId="0" applyFont="1"/>
    <xf numFmtId="0" fontId="34" fillId="0" borderId="0" xfId="0" applyFont="1" applyAlignment="1">
      <alignment horizontal="center" wrapText="1"/>
    </xf>
    <xf numFmtId="0" fontId="29" fillId="58" borderId="0" xfId="0" applyFont="1" applyFill="1" applyAlignment="1">
      <alignment horizontal="center"/>
    </xf>
    <xf numFmtId="3" fontId="29" fillId="58" borderId="0" xfId="0" applyNumberFormat="1" applyFont="1" applyFill="1"/>
    <xf numFmtId="165" fontId="4" fillId="0" borderId="0" xfId="0" applyNumberFormat="1" applyFont="1"/>
    <xf numFmtId="166" fontId="8" fillId="0" borderId="0" xfId="0" applyNumberFormat="1" applyFont="1"/>
    <xf numFmtId="0" fontId="4" fillId="0" borderId="13" xfId="0" applyFont="1" applyBorder="1"/>
    <xf numFmtId="0" fontId="4" fillId="0" borderId="17" xfId="0" applyFont="1" applyBorder="1"/>
    <xf numFmtId="0" fontId="4" fillId="0" borderId="15" xfId="0" applyFont="1" applyBorder="1" applyAlignment="1">
      <alignment horizontal="center"/>
    </xf>
    <xf numFmtId="0" fontId="4" fillId="0" borderId="22" xfId="0" applyFont="1" applyBorder="1" applyAlignment="1">
      <alignment horizontal="center"/>
    </xf>
    <xf numFmtId="0" fontId="4" fillId="0" borderId="26" xfId="0" applyFont="1" applyBorder="1"/>
    <xf numFmtId="2" fontId="4" fillId="0" borderId="0" xfId="0" applyNumberFormat="1" applyFont="1"/>
    <xf numFmtId="0" fontId="2" fillId="0" borderId="0" xfId="0" applyFont="1"/>
    <xf numFmtId="0" fontId="76" fillId="0" borderId="0" xfId="0" applyFont="1"/>
    <xf numFmtId="43" fontId="0" fillId="0" borderId="0" xfId="55" applyFont="1" applyFill="1"/>
    <xf numFmtId="0" fontId="74" fillId="0" borderId="0" xfId="0" applyFont="1"/>
    <xf numFmtId="0" fontId="4" fillId="60" borderId="27" xfId="0" applyFont="1" applyFill="1" applyBorder="1"/>
    <xf numFmtId="0" fontId="4" fillId="61" borderId="27" xfId="0" applyFont="1" applyFill="1" applyBorder="1"/>
    <xf numFmtId="0" fontId="4" fillId="60" borderId="24" xfId="0" applyFont="1" applyFill="1" applyBorder="1"/>
    <xf numFmtId="168" fontId="4" fillId="60" borderId="16" xfId="0" applyNumberFormat="1" applyFont="1" applyFill="1" applyBorder="1"/>
    <xf numFmtId="0" fontId="4" fillId="61" borderId="24" xfId="0" applyFont="1" applyFill="1" applyBorder="1"/>
    <xf numFmtId="168" fontId="4" fillId="61" borderId="16" xfId="0" applyNumberFormat="1" applyFont="1" applyFill="1" applyBorder="1"/>
    <xf numFmtId="0" fontId="4" fillId="60" borderId="25" xfId="0" applyFont="1" applyFill="1" applyBorder="1"/>
    <xf numFmtId="168" fontId="4" fillId="60" borderId="28" xfId="0" applyNumberFormat="1" applyFont="1" applyFill="1" applyBorder="1"/>
    <xf numFmtId="2" fontId="74" fillId="0" borderId="0" xfId="0" applyNumberFormat="1" applyFont="1"/>
    <xf numFmtId="0" fontId="4" fillId="0" borderId="0" xfId="0" applyFont="1" applyAlignment="1">
      <alignment horizontal="right"/>
    </xf>
    <xf numFmtId="0" fontId="4" fillId="0" borderId="0" xfId="0" applyFont="1" applyAlignment="1">
      <alignment horizontal="left"/>
    </xf>
    <xf numFmtId="171" fontId="4" fillId="0" borderId="0" xfId="0" applyNumberFormat="1" applyFont="1"/>
    <xf numFmtId="0" fontId="5" fillId="62" borderId="16" xfId="0" applyFont="1" applyFill="1" applyBorder="1" applyAlignment="1">
      <alignment horizontal="center" vertical="center" wrapText="1"/>
    </xf>
    <xf numFmtId="0" fontId="4" fillId="0" borderId="12" xfId="0" applyFont="1" applyBorder="1"/>
    <xf numFmtId="3" fontId="4" fillId="54" borderId="0" xfId="0" applyNumberFormat="1" applyFont="1" applyFill="1"/>
    <xf numFmtId="3" fontId="4" fillId="55" borderId="0" xfId="0" applyNumberFormat="1" applyFont="1" applyFill="1"/>
    <xf numFmtId="168" fontId="4" fillId="0" borderId="0" xfId="0" applyNumberFormat="1" applyFont="1"/>
    <xf numFmtId="0" fontId="4" fillId="56" borderId="0" xfId="0" applyFont="1" applyFill="1"/>
    <xf numFmtId="0" fontId="77" fillId="0" borderId="0" xfId="0" applyFont="1"/>
    <xf numFmtId="0" fontId="78" fillId="0" borderId="0" xfId="0" applyFont="1"/>
    <xf numFmtId="0" fontId="0" fillId="19" borderId="0" xfId="0" applyFill="1"/>
    <xf numFmtId="0" fontId="35" fillId="63" borderId="16" xfId="0" applyFont="1" applyFill="1" applyBorder="1" applyAlignment="1">
      <alignment horizontal="center" wrapText="1"/>
    </xf>
    <xf numFmtId="3" fontId="35" fillId="63" borderId="16" xfId="0" applyNumberFormat="1" applyFont="1" applyFill="1" applyBorder="1" applyAlignment="1">
      <alignment horizontal="center" wrapText="1"/>
    </xf>
    <xf numFmtId="0" fontId="4" fillId="60" borderId="29" xfId="0" applyFont="1" applyFill="1" applyBorder="1"/>
    <xf numFmtId="3" fontId="0" fillId="52" borderId="23" xfId="0" applyNumberFormat="1" applyFill="1" applyBorder="1"/>
    <xf numFmtId="3" fontId="26" fillId="52" borderId="30" xfId="0" applyNumberFormat="1" applyFont="1" applyFill="1" applyBorder="1" applyAlignment="1">
      <alignment horizontal="center" vertical="center"/>
    </xf>
    <xf numFmtId="4" fontId="26" fillId="52" borderId="31" xfId="0" applyNumberFormat="1" applyFont="1" applyFill="1" applyBorder="1" applyAlignment="1">
      <alignment horizontal="center" vertical="center"/>
    </xf>
    <xf numFmtId="0" fontId="29" fillId="52" borderId="0" xfId="0" applyFont="1" applyFill="1" applyAlignment="1">
      <alignment horizontal="right"/>
    </xf>
    <xf numFmtId="0" fontId="29" fillId="52" borderId="0" xfId="0" applyFont="1" applyFill="1" applyAlignment="1">
      <alignment horizontal="center"/>
    </xf>
    <xf numFmtId="3" fontId="30" fillId="52" borderId="0" xfId="0" applyNumberFormat="1" applyFont="1" applyFill="1" applyAlignment="1">
      <alignment wrapText="1"/>
    </xf>
    <xf numFmtId="0" fontId="68" fillId="0" borderId="0" xfId="0" applyFont="1" applyAlignment="1">
      <alignment horizontal="center"/>
    </xf>
    <xf numFmtId="0" fontId="29" fillId="0" borderId="0" xfId="0" applyFont="1" applyAlignment="1">
      <alignment horizontal="left"/>
    </xf>
    <xf numFmtId="0" fontId="8" fillId="0" borderId="0" xfId="0" applyFont="1" applyProtection="1">
      <protection locked="0"/>
    </xf>
    <xf numFmtId="0" fontId="4" fillId="0" borderId="0" xfId="0" applyFont="1" applyProtection="1">
      <protection locked="0"/>
    </xf>
    <xf numFmtId="0" fontId="29" fillId="0" borderId="0" xfId="0" applyFont="1" applyAlignment="1" applyProtection="1">
      <alignment horizontal="left"/>
      <protection locked="0"/>
    </xf>
    <xf numFmtId="3" fontId="29" fillId="52" borderId="0" xfId="0" applyNumberFormat="1" applyFont="1" applyFill="1"/>
    <xf numFmtId="0" fontId="3" fillId="0" borderId="16" xfId="0" applyFont="1" applyBorder="1" applyAlignment="1">
      <alignment horizontal="left" wrapText="1"/>
    </xf>
    <xf numFmtId="3" fontId="0" fillId="52" borderId="10" xfId="0" applyNumberFormat="1" applyFill="1" applyBorder="1"/>
    <xf numFmtId="3" fontId="0" fillId="56" borderId="17" xfId="0" applyNumberFormat="1" applyFill="1" applyBorder="1"/>
    <xf numFmtId="3" fontId="0" fillId="56" borderId="21" xfId="0" applyNumberFormat="1" applyFill="1" applyBorder="1"/>
    <xf numFmtId="0" fontId="4" fillId="0" borderId="14" xfId="0" applyFont="1" applyBorder="1"/>
    <xf numFmtId="0" fontId="4" fillId="0" borderId="14" xfId="0" applyFont="1" applyBorder="1" applyAlignment="1">
      <alignment horizontal="right"/>
    </xf>
    <xf numFmtId="0" fontId="4" fillId="0" borderId="11" xfId="0" applyFont="1" applyBorder="1"/>
    <xf numFmtId="0" fontId="4" fillId="0" borderId="11" xfId="0" applyFont="1" applyBorder="1" applyAlignment="1">
      <alignment horizontal="right"/>
    </xf>
    <xf numFmtId="0" fontId="4" fillId="0" borderId="11" xfId="0" applyFont="1" applyBorder="1" applyAlignment="1">
      <alignment horizontal="left"/>
    </xf>
    <xf numFmtId="166" fontId="68" fillId="0" borderId="0" xfId="55" applyNumberFormat="1" applyFont="1" applyFill="1"/>
    <xf numFmtId="0" fontId="4" fillId="53" borderId="32" xfId="0" applyFont="1" applyFill="1" applyBorder="1"/>
    <xf numFmtId="0" fontId="4" fillId="53" borderId="33" xfId="0" applyFont="1" applyFill="1" applyBorder="1"/>
    <xf numFmtId="0" fontId="4" fillId="53" borderId="34" xfId="0" applyFont="1" applyFill="1" applyBorder="1"/>
    <xf numFmtId="3" fontId="74" fillId="0" borderId="0" xfId="0" applyNumberFormat="1" applyFont="1" applyAlignment="1">
      <alignment wrapText="1"/>
    </xf>
    <xf numFmtId="0" fontId="5" fillId="64" borderId="16" xfId="0" applyFont="1" applyFill="1" applyBorder="1" applyAlignment="1">
      <alignment vertical="center" wrapText="1"/>
    </xf>
    <xf numFmtId="3" fontId="0" fillId="64" borderId="11" xfId="0" applyNumberFormat="1" applyFill="1" applyBorder="1"/>
    <xf numFmtId="3" fontId="0" fillId="64" borderId="0" xfId="0" applyNumberFormat="1" applyFill="1"/>
    <xf numFmtId="3" fontId="4" fillId="64" borderId="0" xfId="0" applyNumberFormat="1" applyFont="1" applyFill="1"/>
    <xf numFmtId="0" fontId="4" fillId="0" borderId="0" xfId="0" applyFont="1" applyAlignment="1" applyProtection="1">
      <alignment wrapText="1"/>
      <protection locked="0"/>
    </xf>
    <xf numFmtId="3" fontId="30" fillId="52" borderId="0" xfId="0" applyNumberFormat="1" applyFont="1" applyFill="1"/>
    <xf numFmtId="0" fontId="79" fillId="0" borderId="0" xfId="0" applyFont="1"/>
    <xf numFmtId="0" fontId="29" fillId="0" borderId="0" xfId="0" applyFont="1" applyAlignment="1">
      <alignment horizontal="center" wrapText="1"/>
    </xf>
    <xf numFmtId="0" fontId="8" fillId="65" borderId="0" xfId="0" applyFont="1" applyFill="1" applyAlignment="1">
      <alignment horizontal="left"/>
    </xf>
    <xf numFmtId="0" fontId="8" fillId="65" borderId="0" xfId="0" applyFont="1" applyFill="1" applyAlignment="1">
      <alignment horizontal="center"/>
    </xf>
    <xf numFmtId="0" fontId="2" fillId="65" borderId="0" xfId="0" applyFont="1" applyFill="1"/>
    <xf numFmtId="0" fontId="8" fillId="65" borderId="0" xfId="0" applyFont="1" applyFill="1" applyAlignment="1">
      <alignment horizontal="center" wrapText="1"/>
    </xf>
    <xf numFmtId="0" fontId="8" fillId="65" borderId="0" xfId="0" applyFont="1" applyFill="1" applyAlignment="1">
      <alignment wrapText="1"/>
    </xf>
    <xf numFmtId="3" fontId="8" fillId="65" borderId="0" xfId="0" applyNumberFormat="1" applyFont="1" applyFill="1" applyAlignment="1">
      <alignment wrapText="1"/>
    </xf>
    <xf numFmtId="3" fontId="4" fillId="65" borderId="0" xfId="0" applyNumberFormat="1" applyFont="1" applyFill="1" applyAlignment="1">
      <alignment wrapText="1"/>
    </xf>
    <xf numFmtId="0" fontId="8" fillId="65" borderId="0" xfId="0" applyFont="1" applyFill="1"/>
    <xf numFmtId="0" fontId="0" fillId="66" borderId="0" xfId="0" applyFill="1"/>
    <xf numFmtId="0" fontId="4" fillId="0" borderId="0" xfId="0" applyFont="1" applyAlignment="1" applyProtection="1">
      <alignment horizontal="center" wrapText="1"/>
      <protection locked="0"/>
    </xf>
    <xf numFmtId="166" fontId="4" fillId="0" borderId="0" xfId="55" applyNumberFormat="1" applyFont="1" applyProtection="1">
      <protection locked="0"/>
    </xf>
    <xf numFmtId="166" fontId="50" fillId="66" borderId="13" xfId="55" applyNumberFormat="1" applyFont="1" applyFill="1" applyBorder="1"/>
    <xf numFmtId="0" fontId="8" fillId="0" borderId="0" xfId="0" applyFont="1" applyAlignment="1">
      <alignment horizontal="left"/>
    </xf>
    <xf numFmtId="0" fontId="8" fillId="0" borderId="0" xfId="0" applyFont="1" applyAlignment="1">
      <alignment wrapText="1"/>
    </xf>
    <xf numFmtId="0" fontId="4" fillId="65" borderId="0" xfId="0" applyFont="1" applyFill="1" applyAlignment="1">
      <alignment horizontal="right" wrapText="1"/>
    </xf>
    <xf numFmtId="38" fontId="4" fillId="0" borderId="16" xfId="55" applyNumberFormat="1" applyFont="1" applyFill="1" applyBorder="1" applyAlignment="1">
      <alignment horizontal="center" vertical="center"/>
    </xf>
    <xf numFmtId="38" fontId="4" fillId="65" borderId="16" xfId="55" applyNumberFormat="1" applyFont="1" applyFill="1" applyBorder="1" applyAlignment="1">
      <alignment horizontal="center" vertical="center"/>
    </xf>
    <xf numFmtId="0" fontId="4" fillId="0" borderId="11" xfId="0" applyFont="1" applyBorder="1" applyAlignment="1">
      <alignment horizontal="center" wrapText="1"/>
    </xf>
    <xf numFmtId="0" fontId="4" fillId="0" borderId="14" xfId="0" applyFont="1" applyBorder="1" applyAlignment="1">
      <alignment horizontal="center" wrapText="1"/>
    </xf>
    <xf numFmtId="0" fontId="4" fillId="0" borderId="15" xfId="0" applyFont="1" applyBorder="1" applyAlignment="1">
      <alignment horizontal="center" wrapText="1"/>
    </xf>
    <xf numFmtId="0" fontId="8" fillId="0" borderId="21" xfId="0" applyFont="1" applyBorder="1" applyAlignment="1">
      <alignment horizontal="center" wrapText="1"/>
    </xf>
    <xf numFmtId="0" fontId="4" fillId="0" borderId="19" xfId="0" applyFont="1" applyBorder="1" applyAlignment="1">
      <alignment horizontal="center" wrapText="1"/>
    </xf>
    <xf numFmtId="0" fontId="4" fillId="0" borderId="0" xfId="0" applyFont="1" applyAlignment="1">
      <alignment horizontal="center" wrapText="1"/>
    </xf>
    <xf numFmtId="0" fontId="4" fillId="0" borderId="20" xfId="0" applyFont="1" applyBorder="1" applyAlignment="1">
      <alignment horizontal="center" wrapText="1"/>
    </xf>
    <xf numFmtId="38" fontId="4" fillId="0" borderId="16" xfId="55" applyNumberFormat="1" applyFont="1" applyFill="1" applyBorder="1" applyAlignment="1">
      <alignment horizontal="right" vertical="center"/>
    </xf>
    <xf numFmtId="38" fontId="4" fillId="65" borderId="16" xfId="55" applyNumberFormat="1" applyFont="1" applyFill="1" applyBorder="1" applyAlignment="1">
      <alignment horizontal="right" vertical="center"/>
    </xf>
    <xf numFmtId="38" fontId="4" fillId="56" borderId="16" xfId="55" applyNumberFormat="1" applyFont="1" applyFill="1" applyBorder="1" applyAlignment="1">
      <alignment horizontal="center" vertical="center"/>
    </xf>
    <xf numFmtId="0" fontId="68" fillId="0" borderId="20" xfId="0" applyFont="1" applyBorder="1" applyAlignment="1">
      <alignment horizontal="center" wrapText="1"/>
    </xf>
    <xf numFmtId="0" fontId="8" fillId="0" borderId="0" xfId="0" applyFont="1" applyAlignment="1">
      <alignment horizontal="center" wrapText="1"/>
    </xf>
    <xf numFmtId="38" fontId="4" fillId="56" borderId="17" xfId="55" applyNumberFormat="1" applyFont="1" applyFill="1" applyBorder="1" applyAlignment="1">
      <alignment horizontal="center" vertical="center"/>
    </xf>
    <xf numFmtId="38" fontId="4" fillId="0" borderId="0" xfId="55" applyNumberFormat="1" applyFont="1" applyFill="1" applyBorder="1" applyAlignment="1">
      <alignment horizontal="right" vertical="center"/>
    </xf>
    <xf numFmtId="0" fontId="68" fillId="0" borderId="0" xfId="0" applyFont="1" applyAlignment="1">
      <alignment horizontal="center" wrapText="1"/>
    </xf>
    <xf numFmtId="38" fontId="4" fillId="0" borderId="0" xfId="55" applyNumberFormat="1" applyFont="1" applyFill="1" applyBorder="1" applyAlignment="1">
      <alignment horizontal="center" vertical="center"/>
    </xf>
    <xf numFmtId="0" fontId="8" fillId="0" borderId="11" xfId="0" applyFont="1" applyBorder="1" applyAlignment="1">
      <alignment horizontal="center" wrapText="1"/>
    </xf>
    <xf numFmtId="0" fontId="8" fillId="0" borderId="19" xfId="0" applyFont="1" applyBorder="1" applyAlignment="1">
      <alignment horizontal="center" wrapText="1"/>
    </xf>
    <xf numFmtId="0" fontId="4" fillId="0" borderId="10" xfId="0" applyFont="1" applyBorder="1" applyAlignment="1">
      <alignment horizontal="center" wrapText="1"/>
    </xf>
    <xf numFmtId="0" fontId="4" fillId="0" borderId="13" xfId="0" applyFont="1" applyBorder="1" applyAlignment="1">
      <alignment horizontal="center" wrapText="1"/>
    </xf>
    <xf numFmtId="174" fontId="4" fillId="0" borderId="16" xfId="55" applyNumberFormat="1" applyFont="1" applyFill="1" applyBorder="1" applyAlignment="1">
      <alignment horizontal="right" vertical="center"/>
    </xf>
    <xf numFmtId="174" fontId="4" fillId="65" borderId="16" xfId="55" applyNumberFormat="1" applyFont="1" applyFill="1" applyBorder="1" applyAlignment="1">
      <alignment horizontal="right" vertical="center"/>
    </xf>
    <xf numFmtId="174" fontId="8" fillId="0" borderId="16" xfId="55" applyNumberFormat="1" applyFont="1" applyFill="1" applyBorder="1" applyAlignment="1">
      <alignment horizontal="right" vertical="center"/>
    </xf>
    <xf numFmtId="174" fontId="8" fillId="65" borderId="16" xfId="55" applyNumberFormat="1" applyFont="1" applyFill="1" applyBorder="1" applyAlignment="1">
      <alignment horizontal="right" vertical="center"/>
    </xf>
    <xf numFmtId="174" fontId="80" fillId="0" borderId="16" xfId="55" applyNumberFormat="1" applyFont="1" applyFill="1" applyBorder="1" applyAlignment="1">
      <alignment horizontal="right" vertical="center"/>
    </xf>
    <xf numFmtId="174" fontId="80" fillId="65" borderId="16" xfId="55" applyNumberFormat="1" applyFont="1" applyFill="1" applyBorder="1" applyAlignment="1">
      <alignment horizontal="right" vertical="center"/>
    </xf>
    <xf numFmtId="0" fontId="36" fillId="0" borderId="0" xfId="0" applyFont="1"/>
    <xf numFmtId="0" fontId="8" fillId="0" borderId="23" xfId="0" applyFont="1" applyBorder="1" applyAlignment="1">
      <alignment horizontal="right" wrapText="1"/>
    </xf>
    <xf numFmtId="0" fontId="8" fillId="0" borderId="35" xfId="0" applyFont="1" applyBorder="1" applyAlignment="1">
      <alignment horizontal="right" wrapText="1"/>
    </xf>
    <xf numFmtId="0" fontId="8" fillId="0" borderId="36" xfId="0" applyFont="1" applyBorder="1" applyAlignment="1">
      <alignment horizontal="right" wrapText="1"/>
    </xf>
    <xf numFmtId="0" fontId="8" fillId="0" borderId="16" xfId="0" applyFont="1" applyBorder="1" applyAlignment="1">
      <alignment horizontal="right" wrapText="1"/>
    </xf>
    <xf numFmtId="0" fontId="0" fillId="60" borderId="0" xfId="0" applyFill="1"/>
    <xf numFmtId="0" fontId="8" fillId="58" borderId="0" xfId="0" applyFont="1" applyFill="1" applyAlignment="1">
      <alignment horizontal="left"/>
    </xf>
    <xf numFmtId="0" fontId="8" fillId="58" borderId="0" xfId="0" applyFont="1" applyFill="1" applyAlignment="1">
      <alignment horizontal="center"/>
    </xf>
    <xf numFmtId="0" fontId="2" fillId="58" borderId="0" xfId="0" applyFont="1" applyFill="1"/>
    <xf numFmtId="0" fontId="8" fillId="58" borderId="0" xfId="0" applyFont="1" applyFill="1" applyAlignment="1">
      <alignment horizontal="center" wrapText="1"/>
    </xf>
    <xf numFmtId="0" fontId="8" fillId="58" borderId="0" xfId="0" applyFont="1" applyFill="1" applyAlignment="1">
      <alignment wrapText="1"/>
    </xf>
    <xf numFmtId="3" fontId="8" fillId="58" borderId="0" xfId="0" applyNumberFormat="1" applyFont="1" applyFill="1" applyAlignment="1">
      <alignment wrapText="1"/>
    </xf>
    <xf numFmtId="0" fontId="0" fillId="58" borderId="0" xfId="0" applyFill="1"/>
    <xf numFmtId="3" fontId="4" fillId="58" borderId="0" xfId="0" applyNumberFormat="1" applyFont="1" applyFill="1" applyAlignment="1">
      <alignment wrapText="1"/>
    </xf>
    <xf numFmtId="0" fontId="8" fillId="58" borderId="0" xfId="0" applyFont="1" applyFill="1"/>
    <xf numFmtId="3" fontId="0" fillId="58" borderId="0" xfId="0" applyNumberFormat="1" applyFill="1"/>
    <xf numFmtId="0" fontId="0" fillId="58" borderId="0" xfId="0" applyFill="1" applyAlignment="1">
      <alignment horizontal="right"/>
    </xf>
    <xf numFmtId="4" fontId="0" fillId="58" borderId="0" xfId="0" applyNumberFormat="1" applyFill="1"/>
    <xf numFmtId="0" fontId="2" fillId="60" borderId="0" xfId="0" applyFont="1" applyFill="1"/>
    <xf numFmtId="0" fontId="8" fillId="60" borderId="0" xfId="0" applyFont="1" applyFill="1" applyAlignment="1">
      <alignment horizontal="center" wrapText="1"/>
    </xf>
    <xf numFmtId="0" fontId="8" fillId="60" borderId="0" xfId="0" applyFont="1" applyFill="1" applyAlignment="1">
      <alignment wrapText="1"/>
    </xf>
    <xf numFmtId="3" fontId="8" fillId="60" borderId="0" xfId="0" applyNumberFormat="1" applyFont="1" applyFill="1" applyAlignment="1">
      <alignment wrapText="1"/>
    </xf>
    <xf numFmtId="3" fontId="4" fillId="60" borderId="0" xfId="0" applyNumberFormat="1" applyFont="1" applyFill="1" applyAlignment="1">
      <alignment wrapText="1"/>
    </xf>
    <xf numFmtId="0" fontId="8" fillId="60" borderId="0" xfId="0" applyFont="1" applyFill="1"/>
    <xf numFmtId="3" fontId="0" fillId="60" borderId="0" xfId="0" applyNumberFormat="1" applyFill="1"/>
    <xf numFmtId="0" fontId="0" fillId="60" borderId="0" xfId="0" applyFill="1" applyAlignment="1">
      <alignment horizontal="right"/>
    </xf>
    <xf numFmtId="4" fontId="0" fillId="60" borderId="0" xfId="0" applyNumberFormat="1" applyFill="1"/>
    <xf numFmtId="0" fontId="4" fillId="56" borderId="10" xfId="0" applyFont="1" applyFill="1" applyBorder="1" applyAlignment="1">
      <alignment horizontal="center" wrapText="1"/>
    </xf>
    <xf numFmtId="0" fontId="4" fillId="56" borderId="13" xfId="0" applyFont="1" applyFill="1" applyBorder="1" applyAlignment="1">
      <alignment horizontal="center" wrapText="1"/>
    </xf>
    <xf numFmtId="0" fontId="4" fillId="67" borderId="14" xfId="0" applyFont="1" applyFill="1" applyBorder="1" applyAlignment="1">
      <alignment horizontal="center" wrapText="1"/>
    </xf>
    <xf numFmtId="0" fontId="4" fillId="57" borderId="14" xfId="0" applyFont="1" applyFill="1" applyBorder="1" applyAlignment="1">
      <alignment horizontal="center" wrapText="1"/>
    </xf>
    <xf numFmtId="0" fontId="8" fillId="56" borderId="17" xfId="0" applyFont="1" applyFill="1" applyBorder="1" applyAlignment="1">
      <alignment horizontal="center" wrapText="1"/>
    </xf>
    <xf numFmtId="0" fontId="4" fillId="56" borderId="12" xfId="0" applyFont="1" applyFill="1" applyBorder="1" applyAlignment="1">
      <alignment horizontal="center" wrapText="1"/>
    </xf>
    <xf numFmtId="0" fontId="8" fillId="65" borderId="22" xfId="0" applyFont="1" applyFill="1" applyBorder="1" applyAlignment="1">
      <alignment horizontal="center" wrapText="1"/>
    </xf>
    <xf numFmtId="0" fontId="4" fillId="65" borderId="20" xfId="0" applyFont="1" applyFill="1" applyBorder="1" applyAlignment="1">
      <alignment horizontal="center" wrapText="1"/>
    </xf>
    <xf numFmtId="0" fontId="4" fillId="68" borderId="14" xfId="0" applyFont="1" applyFill="1" applyBorder="1" applyAlignment="1">
      <alignment horizontal="center" wrapText="1"/>
    </xf>
    <xf numFmtId="0" fontId="4" fillId="68" borderId="15" xfId="0" applyFont="1" applyFill="1" applyBorder="1" applyAlignment="1">
      <alignment horizontal="center" wrapText="1"/>
    </xf>
    <xf numFmtId="38" fontId="4" fillId="0" borderId="17" xfId="55" applyNumberFormat="1" applyFont="1" applyFill="1" applyBorder="1" applyAlignment="1">
      <alignment horizontal="center" vertical="center"/>
    </xf>
    <xf numFmtId="0" fontId="36" fillId="0" borderId="0" xfId="0" applyFont="1" applyAlignment="1">
      <alignment wrapText="1"/>
    </xf>
    <xf numFmtId="0" fontId="27" fillId="0" borderId="0" xfId="87" applyFont="1"/>
    <xf numFmtId="0" fontId="38" fillId="0" borderId="0" xfId="0" applyFont="1"/>
    <xf numFmtId="38" fontId="39" fillId="0" borderId="16" xfId="55" applyNumberFormat="1" applyFont="1" applyFill="1" applyBorder="1" applyAlignment="1">
      <alignment horizontal="center" vertical="center"/>
    </xf>
    <xf numFmtId="0" fontId="4" fillId="65" borderId="20" xfId="0" quotePrefix="1" applyFont="1" applyFill="1" applyBorder="1" applyAlignment="1">
      <alignment horizontal="center" wrapText="1"/>
    </xf>
    <xf numFmtId="0" fontId="0" fillId="69" borderId="0" xfId="0" applyFill="1"/>
    <xf numFmtId="0" fontId="82" fillId="0" borderId="0" xfId="0" applyFont="1" applyAlignment="1">
      <alignment horizontal="center" vertical="center"/>
    </xf>
    <xf numFmtId="0" fontId="82" fillId="0" borderId="0" xfId="0" applyFont="1" applyAlignment="1">
      <alignment vertical="center" wrapText="1"/>
    </xf>
    <xf numFmtId="0" fontId="83" fillId="0" borderId="0" xfId="0" applyFont="1"/>
    <xf numFmtId="0" fontId="73" fillId="0" borderId="0" xfId="0" applyFont="1"/>
    <xf numFmtId="0" fontId="75" fillId="0" borderId="0" xfId="0" applyFont="1" applyAlignment="1">
      <alignment horizontal="left"/>
    </xf>
    <xf numFmtId="0" fontId="69" fillId="0" borderId="0" xfId="0" applyFont="1" applyAlignment="1">
      <alignment vertical="center" wrapText="1"/>
    </xf>
    <xf numFmtId="0" fontId="69" fillId="0" borderId="0" xfId="0" applyFont="1" applyAlignment="1">
      <alignment horizontal="center" vertical="center"/>
    </xf>
    <xf numFmtId="0" fontId="75" fillId="70" borderId="16" xfId="0" applyFont="1" applyFill="1" applyBorder="1"/>
    <xf numFmtId="0" fontId="84" fillId="0" borderId="0" xfId="0" applyFont="1" applyAlignment="1">
      <alignment horizontal="left" vertical="center"/>
    </xf>
    <xf numFmtId="0" fontId="84" fillId="0" borderId="0" xfId="0" applyFont="1"/>
    <xf numFmtId="0" fontId="75" fillId="0" borderId="16" xfId="0" applyFont="1" applyBorder="1"/>
    <xf numFmtId="3" fontId="75" fillId="71" borderId="16" xfId="0" applyNumberFormat="1" applyFont="1" applyFill="1" applyBorder="1" applyAlignment="1">
      <alignment horizontal="center"/>
    </xf>
    <xf numFmtId="0" fontId="85" fillId="0" borderId="0" xfId="0" applyFont="1"/>
    <xf numFmtId="0" fontId="86" fillId="0" borderId="0" xfId="0" applyFont="1"/>
    <xf numFmtId="0" fontId="87" fillId="0" borderId="0" xfId="0" applyFont="1" applyAlignment="1">
      <alignment horizontal="left" vertical="center"/>
    </xf>
    <xf numFmtId="3" fontId="88" fillId="0" borderId="0" xfId="0" applyNumberFormat="1" applyFont="1" applyAlignment="1">
      <alignment horizontal="left"/>
    </xf>
    <xf numFmtId="3" fontId="89" fillId="0" borderId="0" xfId="0" applyNumberFormat="1" applyFont="1" applyAlignment="1">
      <alignment horizontal="right"/>
    </xf>
    <xf numFmtId="0" fontId="90" fillId="0" borderId="0" xfId="0" applyFont="1" applyAlignment="1">
      <alignment horizontal="left" vertical="center"/>
    </xf>
    <xf numFmtId="43" fontId="77" fillId="0" borderId="0" xfId="55" applyFont="1" applyFill="1" applyBorder="1"/>
    <xf numFmtId="14" fontId="75" fillId="0" borderId="0" xfId="0" applyNumberFormat="1" applyFont="1" applyAlignment="1">
      <alignment horizontal="left"/>
    </xf>
    <xf numFmtId="43" fontId="81" fillId="0" borderId="0" xfId="55" applyFont="1" applyFill="1" applyBorder="1" applyAlignment="1">
      <alignment horizontal="center" vertical="center" wrapText="1"/>
    </xf>
    <xf numFmtId="3" fontId="91" fillId="0" borderId="0" xfId="0" applyNumberFormat="1" applyFont="1" applyAlignment="1">
      <alignment horizontal="center" vertical="center"/>
    </xf>
    <xf numFmtId="0" fontId="92" fillId="0" borderId="0" xfId="0" applyFont="1" applyAlignment="1">
      <alignment horizontal="center" vertical="center"/>
    </xf>
    <xf numFmtId="3" fontId="88" fillId="0" borderId="0" xfId="0" applyNumberFormat="1" applyFont="1" applyAlignment="1">
      <alignment horizontal="center" vertical="center"/>
    </xf>
    <xf numFmtId="0" fontId="75" fillId="0" borderId="24" xfId="0" applyFont="1" applyBorder="1"/>
    <xf numFmtId="0" fontId="75" fillId="0" borderId="23" xfId="0" applyFont="1" applyBorder="1" applyAlignment="1">
      <alignment horizontal="center" wrapText="1"/>
    </xf>
    <xf numFmtId="0" fontId="75" fillId="0" borderId="26" xfId="0" applyFont="1" applyBorder="1"/>
    <xf numFmtId="0" fontId="90" fillId="0" borderId="0" xfId="0" applyFont="1" applyAlignment="1">
      <alignment horizontal="center" vertical="center"/>
    </xf>
    <xf numFmtId="0" fontId="75" fillId="0" borderId="0" xfId="0" applyFont="1" applyAlignment="1">
      <alignment wrapText="1"/>
    </xf>
    <xf numFmtId="166" fontId="77" fillId="0" borderId="0" xfId="55" applyNumberFormat="1" applyFont="1" applyFill="1" applyBorder="1" applyAlignment="1">
      <alignment horizontal="center" vertical="center"/>
    </xf>
    <xf numFmtId="3" fontId="75" fillId="0" borderId="0" xfId="0" applyNumberFormat="1" applyFont="1"/>
    <xf numFmtId="3" fontId="93" fillId="0" borderId="0" xfId="0" applyNumberFormat="1" applyFont="1" applyAlignment="1">
      <alignment horizontal="right" vertical="center"/>
    </xf>
    <xf numFmtId="0" fontId="75" fillId="0" borderId="25" xfId="0" applyFont="1" applyBorder="1"/>
    <xf numFmtId="0" fontId="75" fillId="0" borderId="38" xfId="0" applyFont="1" applyBorder="1"/>
    <xf numFmtId="0" fontId="75" fillId="0" borderId="0" xfId="0" applyFont="1" applyAlignment="1">
      <alignment vertical="center"/>
    </xf>
    <xf numFmtId="0" fontId="73" fillId="0" borderId="29" xfId="0" applyFont="1" applyBorder="1"/>
    <xf numFmtId="0" fontId="75" fillId="0" borderId="39" xfId="0" applyFont="1" applyBorder="1"/>
    <xf numFmtId="0" fontId="94" fillId="0" borderId="39" xfId="0" applyFont="1" applyBorder="1"/>
    <xf numFmtId="0" fontId="84" fillId="0" borderId="39" xfId="0" applyFont="1" applyBorder="1"/>
    <xf numFmtId="0" fontId="75" fillId="0" borderId="40" xfId="0" applyFont="1" applyBorder="1"/>
    <xf numFmtId="0" fontId="95" fillId="0" borderId="29" xfId="0" applyFont="1" applyBorder="1"/>
    <xf numFmtId="0" fontId="73" fillId="0" borderId="24" xfId="0" applyFont="1" applyBorder="1"/>
    <xf numFmtId="3" fontId="84" fillId="0" borderId="0" xfId="0" applyNumberFormat="1" applyFont="1"/>
    <xf numFmtId="0" fontId="95" fillId="0" borderId="16" xfId="0" applyFont="1" applyBorder="1"/>
    <xf numFmtId="0" fontId="95" fillId="0" borderId="17" xfId="0" applyFont="1" applyBorder="1"/>
    <xf numFmtId="0" fontId="95" fillId="0" borderId="21" xfId="0" applyFont="1" applyBorder="1"/>
    <xf numFmtId="0" fontId="75" fillId="0" borderId="21" xfId="0" applyFont="1" applyBorder="1"/>
    <xf numFmtId="0" fontId="75" fillId="0" borderId="22" xfId="0" applyFont="1" applyBorder="1"/>
    <xf numFmtId="0" fontId="95" fillId="0" borderId="26" xfId="0" applyFont="1" applyBorder="1"/>
    <xf numFmtId="0" fontId="95" fillId="0" borderId="0" xfId="0" applyFont="1"/>
    <xf numFmtId="0" fontId="77" fillId="0" borderId="41" xfId="0" applyFont="1" applyBorder="1" applyAlignment="1">
      <alignment wrapText="1"/>
    </xf>
    <xf numFmtId="0" fontId="77" fillId="0" borderId="42" xfId="0" applyFont="1" applyBorder="1" applyAlignment="1">
      <alignment wrapText="1"/>
    </xf>
    <xf numFmtId="0" fontId="77" fillId="0" borderId="43" xfId="0" applyFont="1" applyBorder="1" applyAlignment="1">
      <alignment wrapText="1"/>
    </xf>
    <xf numFmtId="0" fontId="77" fillId="0" borderId="39" xfId="0" applyFont="1" applyBorder="1" applyAlignment="1">
      <alignment wrapText="1"/>
    </xf>
    <xf numFmtId="0" fontId="77" fillId="0" borderId="44" xfId="0" applyFont="1" applyBorder="1" applyAlignment="1">
      <alignment wrapText="1"/>
    </xf>
    <xf numFmtId="0" fontId="77" fillId="0" borderId="45" xfId="0" applyFont="1" applyBorder="1" applyAlignment="1">
      <alignment wrapText="1"/>
    </xf>
    <xf numFmtId="0" fontId="77" fillId="0" borderId="15" xfId="0" applyFont="1" applyBorder="1" applyAlignment="1">
      <alignment wrapText="1"/>
    </xf>
    <xf numFmtId="0" fontId="77" fillId="0" borderId="35" xfId="0" applyFont="1" applyBorder="1" applyAlignment="1">
      <alignment wrapText="1"/>
    </xf>
    <xf numFmtId="0" fontId="77" fillId="0" borderId="46" xfId="0" applyFont="1" applyBorder="1" applyAlignment="1">
      <alignment wrapText="1"/>
    </xf>
    <xf numFmtId="0" fontId="77" fillId="0" borderId="47" xfId="0" applyFont="1" applyBorder="1" applyAlignment="1">
      <alignment wrapText="1"/>
    </xf>
    <xf numFmtId="0" fontId="77" fillId="0" borderId="48" xfId="0" applyFont="1" applyBorder="1" applyAlignment="1">
      <alignment wrapText="1"/>
    </xf>
    <xf numFmtId="0" fontId="77" fillId="0" borderId="24" xfId="0" applyFont="1" applyBorder="1" applyAlignment="1">
      <alignment wrapText="1"/>
    </xf>
    <xf numFmtId="0" fontId="77" fillId="0" borderId="16" xfId="0" applyFont="1" applyBorder="1" applyAlignment="1">
      <alignment wrapText="1"/>
    </xf>
    <xf numFmtId="0" fontId="77" fillId="0" borderId="0" xfId="0" applyFont="1" applyAlignment="1">
      <alignment wrapText="1"/>
    </xf>
    <xf numFmtId="0" fontId="77" fillId="0" borderId="23" xfId="0" applyFont="1" applyBorder="1" applyAlignment="1">
      <alignment wrapText="1"/>
    </xf>
    <xf numFmtId="0" fontId="77" fillId="0" borderId="36" xfId="0" applyFont="1" applyBorder="1" applyAlignment="1">
      <alignment wrapText="1"/>
    </xf>
    <xf numFmtId="0" fontId="77" fillId="0" borderId="12" xfId="0" applyFont="1" applyBorder="1" applyAlignment="1">
      <alignment wrapText="1"/>
    </xf>
    <xf numFmtId="0" fontId="77" fillId="0" borderId="26" xfId="0" applyFont="1" applyBorder="1" applyAlignment="1">
      <alignment wrapText="1"/>
    </xf>
    <xf numFmtId="3" fontId="75" fillId="0" borderId="24" xfId="0" applyNumberFormat="1" applyFont="1" applyBorder="1"/>
    <xf numFmtId="0" fontId="75" fillId="0" borderId="49" xfId="0" applyFont="1" applyBorder="1"/>
    <xf numFmtId="3" fontId="75" fillId="20" borderId="50" xfId="0" quotePrefix="1" applyNumberFormat="1" applyFont="1" applyFill="1" applyBorder="1"/>
    <xf numFmtId="3" fontId="75" fillId="20" borderId="28" xfId="0" quotePrefix="1" applyNumberFormat="1" applyFont="1" applyFill="1" applyBorder="1"/>
    <xf numFmtId="3" fontId="75" fillId="20" borderId="16" xfId="0" quotePrefix="1" applyNumberFormat="1" applyFont="1" applyFill="1" applyBorder="1"/>
    <xf numFmtId="3" fontId="75" fillId="0" borderId="51" xfId="0" applyNumberFormat="1" applyFont="1" applyBorder="1" applyAlignment="1">
      <alignment horizontal="right"/>
    </xf>
    <xf numFmtId="3" fontId="75" fillId="20" borderId="52" xfId="0" quotePrefix="1" applyNumberFormat="1" applyFont="1" applyFill="1" applyBorder="1"/>
    <xf numFmtId="4" fontId="75" fillId="20" borderId="54" xfId="0" quotePrefix="1" applyNumberFormat="1" applyFont="1" applyFill="1" applyBorder="1"/>
    <xf numFmtId="3" fontId="75" fillId="20" borderId="37" xfId="0" quotePrefix="1" applyNumberFormat="1" applyFont="1" applyFill="1" applyBorder="1"/>
    <xf numFmtId="3" fontId="75" fillId="0" borderId="50" xfId="0" applyNumberFormat="1" applyFont="1" applyBorder="1"/>
    <xf numFmtId="3" fontId="75" fillId="0" borderId="28" xfId="0" applyNumberFormat="1" applyFont="1" applyBorder="1"/>
    <xf numFmtId="3" fontId="75" fillId="0" borderId="37" xfId="0" applyNumberFormat="1" applyFont="1" applyBorder="1"/>
    <xf numFmtId="3" fontId="75" fillId="0" borderId="55" xfId="0" applyNumberFormat="1" applyFont="1" applyBorder="1"/>
    <xf numFmtId="3" fontId="75" fillId="0" borderId="49" xfId="0" applyNumberFormat="1" applyFont="1" applyBorder="1"/>
    <xf numFmtId="3" fontId="75" fillId="71" borderId="52" xfId="0" applyNumberFormat="1" applyFont="1" applyFill="1" applyBorder="1" applyAlignment="1">
      <alignment horizontal="center"/>
    </xf>
    <xf numFmtId="3" fontId="75" fillId="20" borderId="16" xfId="0" applyNumberFormat="1" applyFont="1" applyFill="1" applyBorder="1" applyAlignment="1">
      <alignment horizontal="right"/>
    </xf>
    <xf numFmtId="3" fontId="75" fillId="0" borderId="16" xfId="0" applyNumberFormat="1" applyFont="1" applyBorder="1" applyAlignment="1">
      <alignment horizontal="right"/>
    </xf>
    <xf numFmtId="3" fontId="75" fillId="0" borderId="16" xfId="0" applyNumberFormat="1" applyFont="1" applyBorder="1"/>
    <xf numFmtId="3" fontId="75" fillId="20" borderId="22" xfId="0" quotePrefix="1" applyNumberFormat="1" applyFont="1" applyFill="1" applyBorder="1"/>
    <xf numFmtId="166" fontId="75" fillId="20" borderId="16" xfId="55" applyNumberFormat="1" applyFont="1" applyFill="1" applyBorder="1"/>
    <xf numFmtId="166" fontId="75" fillId="20" borderId="16" xfId="55" applyNumberFormat="1" applyFont="1" applyFill="1" applyBorder="1" applyAlignment="1">
      <alignment horizontal="right"/>
    </xf>
    <xf numFmtId="3" fontId="75" fillId="20" borderId="16" xfId="0" applyNumberFormat="1" applyFont="1" applyFill="1" applyBorder="1"/>
    <xf numFmtId="3" fontId="75" fillId="71" borderId="17" xfId="0" applyNumberFormat="1" applyFont="1" applyFill="1" applyBorder="1"/>
    <xf numFmtId="3" fontId="75" fillId="0" borderId="26" xfId="0" applyNumberFormat="1" applyFont="1" applyBorder="1"/>
    <xf numFmtId="171" fontId="75" fillId="0" borderId="0" xfId="0" applyNumberFormat="1" applyFont="1"/>
    <xf numFmtId="0" fontId="75" fillId="0" borderId="56" xfId="0" applyFont="1" applyBorder="1"/>
    <xf numFmtId="3" fontId="75" fillId="0" borderId="56" xfId="0" applyNumberFormat="1" applyFont="1" applyBorder="1"/>
    <xf numFmtId="0" fontId="84" fillId="0" borderId="56" xfId="0" applyFont="1" applyBorder="1"/>
    <xf numFmtId="3" fontId="96" fillId="0" borderId="0" xfId="0" applyNumberFormat="1" applyFont="1"/>
    <xf numFmtId="172" fontId="75" fillId="0" borderId="0" xfId="0" applyNumberFormat="1" applyFont="1"/>
    <xf numFmtId="164" fontId="75" fillId="0" borderId="0" xfId="0" applyNumberFormat="1" applyFont="1"/>
    <xf numFmtId="1" fontId="75" fillId="0" borderId="0" xfId="0" applyNumberFormat="1" applyFont="1"/>
    <xf numFmtId="2" fontId="75" fillId="0" borderId="0" xfId="0" applyNumberFormat="1" applyFont="1"/>
    <xf numFmtId="2" fontId="89" fillId="0" borderId="0" xfId="0" applyNumberFormat="1" applyFont="1"/>
    <xf numFmtId="0" fontId="87" fillId="0" borderId="0" xfId="0" applyFont="1"/>
    <xf numFmtId="38" fontId="75" fillId="0" borderId="0" xfId="0" applyNumberFormat="1" applyFont="1"/>
    <xf numFmtId="0" fontId="95" fillId="0" borderId="0" xfId="0" applyFont="1" applyAlignment="1">
      <alignment horizontal="center" vertical="center" wrapText="1"/>
    </xf>
    <xf numFmtId="0" fontId="75" fillId="0" borderId="23" xfId="0" applyFont="1" applyBorder="1"/>
    <xf numFmtId="3" fontId="75" fillId="20" borderId="49" xfId="0" quotePrefix="1" applyNumberFormat="1" applyFont="1" applyFill="1" applyBorder="1"/>
    <xf numFmtId="4" fontId="75" fillId="20" borderId="28" xfId="0" quotePrefix="1" applyNumberFormat="1" applyFont="1" applyFill="1" applyBorder="1"/>
    <xf numFmtId="0" fontId="97" fillId="0" borderId="56" xfId="0" applyFont="1" applyBorder="1" applyAlignment="1">
      <alignment wrapText="1"/>
    </xf>
    <xf numFmtId="3" fontId="75" fillId="0" borderId="57" xfId="0" quotePrefix="1" applyNumberFormat="1" applyFont="1" applyBorder="1"/>
    <xf numFmtId="172" fontId="75" fillId="0" borderId="56" xfId="0" applyNumberFormat="1" applyFont="1" applyBorder="1"/>
    <xf numFmtId="38" fontId="75" fillId="0" borderId="56" xfId="0" applyNumberFormat="1" applyFont="1" applyBorder="1"/>
    <xf numFmtId="0" fontId="98" fillId="0" borderId="56" xfId="0" applyFont="1" applyBorder="1" applyAlignment="1">
      <alignment horizontal="center"/>
    </xf>
    <xf numFmtId="0" fontId="92" fillId="0" borderId="0" xfId="0" applyFont="1" applyAlignment="1">
      <alignment horizontal="left" vertical="center"/>
    </xf>
    <xf numFmtId="3" fontId="84" fillId="0" borderId="0" xfId="0" applyNumberFormat="1" applyFont="1" applyAlignment="1">
      <alignment horizontal="center" vertical="center"/>
    </xf>
    <xf numFmtId="0" fontId="75" fillId="0" borderId="0" xfId="0" applyFont="1" applyAlignment="1">
      <alignment horizontal="center" vertical="center"/>
    </xf>
    <xf numFmtId="3" fontId="91" fillId="0" borderId="0" xfId="0" applyNumberFormat="1" applyFont="1" applyAlignment="1">
      <alignment horizontal="left"/>
    </xf>
    <xf numFmtId="0" fontId="92" fillId="0" borderId="0" xfId="0" applyFont="1" applyAlignment="1">
      <alignment horizontal="center" vertical="center" wrapText="1"/>
    </xf>
    <xf numFmtId="3" fontId="91" fillId="0" borderId="0" xfId="0" applyNumberFormat="1" applyFont="1" applyAlignment="1">
      <alignment horizontal="center" vertical="center" wrapText="1"/>
    </xf>
    <xf numFmtId="38" fontId="77" fillId="0" borderId="0" xfId="55" applyNumberFormat="1" applyFont="1" applyFill="1" applyBorder="1" applyAlignment="1">
      <alignment horizontal="center" vertical="center"/>
    </xf>
    <xf numFmtId="166" fontId="75" fillId="0" borderId="0" xfId="55" applyNumberFormat="1" applyFont="1"/>
    <xf numFmtId="0" fontId="77" fillId="0" borderId="0" xfId="0" applyFont="1" applyAlignment="1">
      <alignment horizontal="center" vertical="center"/>
    </xf>
    <xf numFmtId="3" fontId="77" fillId="0" borderId="0" xfId="0" applyNumberFormat="1" applyFont="1" applyAlignment="1">
      <alignment horizontal="center" vertical="center"/>
    </xf>
    <xf numFmtId="38" fontId="77" fillId="0" borderId="0" xfId="0" applyNumberFormat="1" applyFont="1" applyAlignment="1">
      <alignment horizontal="center"/>
    </xf>
    <xf numFmtId="0" fontId="90" fillId="0" borderId="23" xfId="0" applyFont="1" applyBorder="1" applyAlignment="1">
      <alignment horizontal="center" wrapText="1"/>
    </xf>
    <xf numFmtId="0" fontId="42" fillId="0" borderId="0" xfId="87" applyFont="1"/>
    <xf numFmtId="0" fontId="6" fillId="0" borderId="0" xfId="76" applyBorder="1" applyAlignment="1" applyProtection="1"/>
    <xf numFmtId="0" fontId="28" fillId="0" borderId="29" xfId="87" applyFont="1" applyBorder="1" applyAlignment="1">
      <alignment horizontal="left"/>
    </xf>
    <xf numFmtId="0" fontId="28" fillId="0" borderId="39" xfId="87" applyFont="1" applyBorder="1" applyAlignment="1">
      <alignment horizontal="right"/>
    </xf>
    <xf numFmtId="0" fontId="28" fillId="0" borderId="39" xfId="87" applyFont="1" applyBorder="1" applyAlignment="1">
      <alignment horizontal="left"/>
    </xf>
    <xf numFmtId="0" fontId="3" fillId="0" borderId="39" xfId="87" applyFont="1" applyBorder="1"/>
    <xf numFmtId="0" fontId="3" fillId="0" borderId="40" xfId="87" applyFont="1" applyBorder="1"/>
    <xf numFmtId="14" fontId="8" fillId="0" borderId="24" xfId="87" applyNumberFormat="1" applyFont="1" applyBorder="1" applyAlignment="1">
      <alignment horizontal="left"/>
    </xf>
    <xf numFmtId="9" fontId="3" fillId="0" borderId="0" xfId="87" applyNumberFormat="1" applyFont="1" applyAlignment="1">
      <alignment horizontal="left"/>
    </xf>
    <xf numFmtId="0" fontId="3" fillId="0" borderId="0" xfId="87" applyFont="1"/>
    <xf numFmtId="9" fontId="3" fillId="0" borderId="0" xfId="87" applyNumberFormat="1" applyFont="1" applyAlignment="1">
      <alignment horizontal="right"/>
    </xf>
    <xf numFmtId="0" fontId="3" fillId="0" borderId="0" xfId="87" applyFont="1" applyAlignment="1">
      <alignment horizontal="right"/>
    </xf>
    <xf numFmtId="9" fontId="68" fillId="0" borderId="0" xfId="87" applyNumberFormat="1" applyFont="1" applyAlignment="1">
      <alignment horizontal="left"/>
    </xf>
    <xf numFmtId="0" fontId="3" fillId="0" borderId="0" xfId="87" quotePrefix="1" applyFont="1"/>
    <xf numFmtId="0" fontId="3" fillId="0" borderId="26" xfId="87" applyFont="1" applyBorder="1"/>
    <xf numFmtId="22" fontId="28" fillId="0" borderId="24" xfId="87" applyNumberFormat="1" applyFont="1" applyBorder="1" applyAlignment="1">
      <alignment horizontal="left"/>
    </xf>
    <xf numFmtId="0" fontId="28" fillId="0" borderId="0" xfId="87" applyFont="1"/>
    <xf numFmtId="0" fontId="8" fillId="0" borderId="0" xfId="87" applyFont="1"/>
    <xf numFmtId="0" fontId="3" fillId="0" borderId="24" xfId="87" applyFont="1" applyBorder="1"/>
    <xf numFmtId="0" fontId="28" fillId="0" borderId="0" xfId="87" applyFont="1" applyAlignment="1">
      <alignment horizontal="center"/>
    </xf>
    <xf numFmtId="0" fontId="4" fillId="0" borderId="24" xfId="87" applyFont="1" applyBorder="1" applyAlignment="1">
      <alignment horizontal="right"/>
    </xf>
    <xf numFmtId="3" fontId="4" fillId="0" borderId="0" xfId="87" applyNumberFormat="1" applyFont="1"/>
    <xf numFmtId="3" fontId="78" fillId="0" borderId="0" xfId="87" applyNumberFormat="1" applyFont="1"/>
    <xf numFmtId="9" fontId="28" fillId="0" borderId="0" xfId="87" applyNumberFormat="1" applyFont="1"/>
    <xf numFmtId="0" fontId="28" fillId="0" borderId="0" xfId="87" applyFont="1" applyAlignment="1">
      <alignment horizontal="right" wrapText="1"/>
    </xf>
    <xf numFmtId="0" fontId="4" fillId="0" borderId="0" xfId="87" applyFont="1"/>
    <xf numFmtId="0" fontId="8" fillId="0" borderId="0" xfId="87" applyFont="1" applyAlignment="1">
      <alignment horizontal="right"/>
    </xf>
    <xf numFmtId="0" fontId="28" fillId="0" borderId="0" xfId="87" applyFont="1" applyAlignment="1">
      <alignment horizontal="left"/>
    </xf>
    <xf numFmtId="3" fontId="68" fillId="0" borderId="0" xfId="87" applyNumberFormat="1" applyFont="1"/>
    <xf numFmtId="0" fontId="28" fillId="72" borderId="0" xfId="87" applyFont="1" applyFill="1"/>
    <xf numFmtId="3" fontId="4" fillId="72" borderId="0" xfId="87" applyNumberFormat="1" applyFont="1" applyFill="1"/>
    <xf numFmtId="0" fontId="4" fillId="0" borderId="24" xfId="87" applyFont="1" applyBorder="1"/>
    <xf numFmtId="14" fontId="3" fillId="0" borderId="0" xfId="87" applyNumberFormat="1" applyFont="1"/>
    <xf numFmtId="0" fontId="3" fillId="72" borderId="0" xfId="87" applyFont="1" applyFill="1"/>
    <xf numFmtId="0" fontId="99" fillId="72" borderId="0" xfId="87" applyFont="1" applyFill="1"/>
    <xf numFmtId="0" fontId="3" fillId="0" borderId="25" xfId="87" applyFont="1" applyBorder="1"/>
    <xf numFmtId="0" fontId="3" fillId="0" borderId="56" xfId="87" applyFont="1" applyBorder="1"/>
    <xf numFmtId="0" fontId="3" fillId="0" borderId="38" xfId="87" applyFont="1" applyBorder="1"/>
    <xf numFmtId="0" fontId="28" fillId="0" borderId="56" xfId="87" applyFont="1" applyBorder="1"/>
    <xf numFmtId="3" fontId="3" fillId="0" borderId="58" xfId="87" applyNumberFormat="1" applyFont="1" applyBorder="1"/>
    <xf numFmtId="0" fontId="8" fillId="0" borderId="0" xfId="87" applyFont="1" applyAlignment="1">
      <alignment horizontal="left"/>
    </xf>
    <xf numFmtId="0" fontId="4" fillId="65" borderId="19" xfId="0" applyFont="1" applyFill="1" applyBorder="1" applyAlignment="1">
      <alignment horizontal="center" wrapText="1"/>
    </xf>
    <xf numFmtId="0" fontId="4" fillId="65" borderId="15" xfId="0" applyFont="1" applyFill="1" applyBorder="1" applyAlignment="1">
      <alignment horizontal="center" wrapText="1"/>
    </xf>
    <xf numFmtId="0" fontId="4" fillId="65" borderId="0" xfId="0" applyFont="1" applyFill="1"/>
    <xf numFmtId="0" fontId="4" fillId="65" borderId="16" xfId="0" applyFont="1" applyFill="1" applyBorder="1" applyAlignment="1">
      <alignment horizontal="right"/>
    </xf>
    <xf numFmtId="174" fontId="4" fillId="65" borderId="16" xfId="0" applyNumberFormat="1" applyFont="1" applyFill="1" applyBorder="1" applyAlignment="1">
      <alignment horizontal="right"/>
    </xf>
    <xf numFmtId="0" fontId="4" fillId="65" borderId="0" xfId="0" applyFont="1" applyFill="1" applyAlignment="1">
      <alignment horizontal="right"/>
    </xf>
    <xf numFmtId="0" fontId="4" fillId="0" borderId="0" xfId="0" applyFont="1" applyAlignment="1">
      <alignment horizontal="center"/>
    </xf>
    <xf numFmtId="172" fontId="4" fillId="0" borderId="0" xfId="0" applyNumberFormat="1" applyFont="1" applyAlignment="1">
      <alignment horizontal="center"/>
    </xf>
    <xf numFmtId="38" fontId="5" fillId="0" borderId="0" xfId="55" applyNumberFormat="1" applyFont="1" applyFill="1" applyBorder="1" applyAlignment="1">
      <alignment horizontal="center" vertical="center"/>
    </xf>
    <xf numFmtId="2" fontId="4" fillId="0" borderId="0" xfId="0" applyNumberFormat="1" applyFont="1" applyAlignment="1">
      <alignment horizontal="center"/>
    </xf>
    <xf numFmtId="0" fontId="44" fillId="58" borderId="16" xfId="0" applyFont="1" applyFill="1" applyBorder="1" applyAlignment="1">
      <alignment horizontal="center" vertical="center"/>
    </xf>
    <xf numFmtId="0" fontId="4" fillId="0" borderId="16" xfId="0" applyFont="1" applyBorder="1"/>
    <xf numFmtId="0" fontId="4" fillId="0" borderId="29" xfId="0" applyFont="1" applyBorder="1"/>
    <xf numFmtId="0" fontId="4" fillId="0" borderId="39" xfId="0" applyFont="1" applyBorder="1"/>
    <xf numFmtId="0" fontId="4" fillId="0" borderId="40" xfId="0" applyFont="1" applyBorder="1"/>
    <xf numFmtId="0" fontId="30" fillId="0" borderId="29" xfId="0" applyFont="1" applyBorder="1" applyAlignment="1">
      <alignment horizontal="center" wrapText="1"/>
    </xf>
    <xf numFmtId="0" fontId="30" fillId="0" borderId="39" xfId="0" applyFont="1" applyBorder="1" applyAlignment="1">
      <alignment wrapText="1"/>
    </xf>
    <xf numFmtId="0" fontId="30" fillId="56" borderId="30" xfId="0" applyFont="1" applyFill="1" applyBorder="1" applyAlignment="1">
      <alignment wrapText="1"/>
    </xf>
    <xf numFmtId="0" fontId="30" fillId="56" borderId="31" xfId="0" applyFont="1" applyFill="1" applyBorder="1" applyAlignment="1">
      <alignment wrapText="1"/>
    </xf>
    <xf numFmtId="0" fontId="30" fillId="0" borderId="24" xfId="0" applyFont="1" applyBorder="1" applyAlignment="1">
      <alignment wrapText="1"/>
    </xf>
    <xf numFmtId="0" fontId="29" fillId="56" borderId="24" xfId="0" applyFont="1" applyFill="1" applyBorder="1"/>
    <xf numFmtId="0" fontId="4" fillId="56" borderId="26" xfId="0" applyFont="1" applyFill="1" applyBorder="1"/>
    <xf numFmtId="0" fontId="29" fillId="0" borderId="24" xfId="0" applyFont="1" applyBorder="1" applyAlignment="1">
      <alignment horizontal="right"/>
    </xf>
    <xf numFmtId="2" fontId="29" fillId="0" borderId="0" xfId="0" applyNumberFormat="1" applyFont="1"/>
    <xf numFmtId="2" fontId="29" fillId="56" borderId="24" xfId="0" applyNumberFormat="1" applyFont="1" applyFill="1" applyBorder="1"/>
    <xf numFmtId="0" fontId="4" fillId="56" borderId="26" xfId="0" applyFont="1" applyFill="1" applyBorder="1" applyAlignment="1">
      <alignment horizontal="right"/>
    </xf>
    <xf numFmtId="0" fontId="43" fillId="73" borderId="0" xfId="0" applyFont="1" applyFill="1"/>
    <xf numFmtId="0" fontId="43" fillId="65" borderId="0" xfId="0" applyFont="1" applyFill="1"/>
    <xf numFmtId="0" fontId="100" fillId="65" borderId="0" xfId="0" applyFont="1" applyFill="1"/>
    <xf numFmtId="0" fontId="100" fillId="65" borderId="0" xfId="0" applyFont="1" applyFill="1" applyAlignment="1">
      <alignment horizontal="right"/>
    </xf>
    <xf numFmtId="0" fontId="100" fillId="0" borderId="0" xfId="0" applyFont="1"/>
    <xf numFmtId="0" fontId="4" fillId="0" borderId="25" xfId="0" applyFont="1" applyBorder="1"/>
    <xf numFmtId="0" fontId="4" fillId="0" borderId="56" xfId="0" applyFont="1" applyBorder="1"/>
    <xf numFmtId="0" fontId="4" fillId="0" borderId="38" xfId="0" applyFont="1" applyBorder="1"/>
    <xf numFmtId="0" fontId="29" fillId="0" borderId="25" xfId="0" applyFont="1" applyBorder="1" applyAlignment="1">
      <alignment horizontal="right"/>
    </xf>
    <xf numFmtId="2" fontId="29" fillId="0" borderId="56" xfId="0" applyNumberFormat="1" applyFont="1" applyBorder="1"/>
    <xf numFmtId="2" fontId="29" fillId="56" borderId="25" xfId="0" applyNumberFormat="1" applyFont="1" applyFill="1" applyBorder="1"/>
    <xf numFmtId="0" fontId="4" fillId="56" borderId="38" xfId="0" applyFont="1" applyFill="1" applyBorder="1" applyAlignment="1">
      <alignment horizontal="right"/>
    </xf>
    <xf numFmtId="0" fontId="4" fillId="0" borderId="0" xfId="0" applyFont="1" applyAlignment="1">
      <alignment vertical="top" wrapText="1"/>
    </xf>
    <xf numFmtId="0" fontId="4" fillId="56" borderId="24" xfId="0" applyFont="1" applyFill="1" applyBorder="1"/>
    <xf numFmtId="170" fontId="29" fillId="0" borderId="0" xfId="0" applyNumberFormat="1" applyFont="1"/>
    <xf numFmtId="170" fontId="29" fillId="56" borderId="24" xfId="0" applyNumberFormat="1" applyFont="1" applyFill="1" applyBorder="1"/>
    <xf numFmtId="170" fontId="29" fillId="0" borderId="56" xfId="0" applyNumberFormat="1" applyFont="1" applyBorder="1"/>
    <xf numFmtId="170" fontId="29" fillId="56" borderId="25" xfId="0" applyNumberFormat="1" applyFont="1" applyFill="1" applyBorder="1"/>
    <xf numFmtId="0" fontId="2" fillId="0" borderId="0" xfId="0" applyFont="1" applyAlignment="1">
      <alignment horizontal="left"/>
    </xf>
    <xf numFmtId="0" fontId="4" fillId="74" borderId="0" xfId="0" applyFont="1" applyFill="1"/>
    <xf numFmtId="0" fontId="29" fillId="74" borderId="0" xfId="0" applyFont="1" applyFill="1" applyAlignment="1">
      <alignment horizontal="right"/>
    </xf>
    <xf numFmtId="0" fontId="6" fillId="0" borderId="0" xfId="76" applyAlignment="1" applyProtection="1"/>
    <xf numFmtId="0" fontId="101" fillId="75" borderId="0" xfId="0" applyFont="1" applyFill="1"/>
    <xf numFmtId="0" fontId="29" fillId="75" borderId="0" xfId="0" applyFont="1" applyFill="1"/>
    <xf numFmtId="0" fontId="102" fillId="75" borderId="0" xfId="0" applyFont="1" applyFill="1"/>
    <xf numFmtId="0" fontId="4" fillId="75" borderId="0" xfId="0" applyFont="1" applyFill="1"/>
    <xf numFmtId="0" fontId="101" fillId="75" borderId="0" xfId="0" applyFont="1" applyFill="1" applyAlignment="1">
      <alignment wrapText="1"/>
    </xf>
    <xf numFmtId="0" fontId="103" fillId="75" borderId="0" xfId="0" applyFont="1" applyFill="1"/>
    <xf numFmtId="0" fontId="104" fillId="0" borderId="0" xfId="0" applyFont="1"/>
    <xf numFmtId="0" fontId="30" fillId="75" borderId="0" xfId="0" applyFont="1" applyFill="1"/>
    <xf numFmtId="4" fontId="102" fillId="75" borderId="0" xfId="0" applyNumberFormat="1" applyFont="1" applyFill="1"/>
    <xf numFmtId="0" fontId="102" fillId="0" borderId="0" xfId="0" applyFont="1"/>
    <xf numFmtId="0" fontId="32" fillId="56" borderId="0" xfId="0" applyFont="1" applyFill="1"/>
    <xf numFmtId="0" fontId="44" fillId="56" borderId="0" xfId="0" applyFont="1" applyFill="1"/>
    <xf numFmtId="0" fontId="6" fillId="56" borderId="0" xfId="76" applyFill="1" applyBorder="1" applyAlignment="1" applyProtection="1"/>
    <xf numFmtId="0" fontId="28" fillId="56" borderId="16" xfId="0" applyFont="1" applyFill="1" applyBorder="1" applyAlignment="1">
      <alignment horizontal="center" wrapText="1"/>
    </xf>
    <xf numFmtId="4" fontId="28" fillId="56" borderId="16" xfId="0" applyNumberFormat="1" applyFont="1" applyFill="1" applyBorder="1" applyAlignment="1">
      <alignment horizontal="center" wrapText="1"/>
    </xf>
    <xf numFmtId="4" fontId="28" fillId="60" borderId="16" xfId="0" applyNumberFormat="1" applyFont="1" applyFill="1" applyBorder="1" applyAlignment="1">
      <alignment horizontal="center" wrapText="1"/>
    </xf>
    <xf numFmtId="0" fontId="28" fillId="56" borderId="16" xfId="0" applyFont="1" applyFill="1" applyBorder="1" applyAlignment="1">
      <alignment horizontal="left" wrapText="1"/>
    </xf>
    <xf numFmtId="0" fontId="3" fillId="0" borderId="16" xfId="0" applyFont="1" applyBorder="1" applyAlignment="1">
      <alignment horizontal="center" wrapText="1"/>
    </xf>
    <xf numFmtId="4" fontId="3" fillId="0" borderId="16" xfId="0" applyNumberFormat="1" applyFont="1" applyBorder="1" applyAlignment="1">
      <alignment horizontal="right" wrapText="1"/>
    </xf>
    <xf numFmtId="2" fontId="4" fillId="60" borderId="16" xfId="0" applyNumberFormat="1" applyFont="1" applyFill="1" applyBorder="1"/>
    <xf numFmtId="4" fontId="74" fillId="75" borderId="0" xfId="0" applyNumberFormat="1" applyFont="1" applyFill="1"/>
    <xf numFmtId="0" fontId="3" fillId="56" borderId="0" xfId="0" applyFont="1" applyFill="1" applyAlignment="1">
      <alignment horizontal="left"/>
    </xf>
    <xf numFmtId="0" fontId="29" fillId="56" borderId="0" xfId="0" applyFont="1" applyFill="1" applyAlignment="1">
      <alignment vertical="top"/>
    </xf>
    <xf numFmtId="0" fontId="29" fillId="56" borderId="0" xfId="0" applyFont="1" applyFill="1" applyAlignment="1">
      <alignment horizontal="center" vertical="top"/>
    </xf>
    <xf numFmtId="0" fontId="3" fillId="56" borderId="0" xfId="0" applyFont="1" applyFill="1" applyAlignment="1">
      <alignment horizontal="left" wrapText="1"/>
    </xf>
    <xf numFmtId="0" fontId="29" fillId="56" borderId="0" xfId="0" applyFont="1" applyFill="1" applyAlignment="1">
      <alignment vertical="top" wrapText="1"/>
    </xf>
    <xf numFmtId="0" fontId="29" fillId="56" borderId="0" xfId="0" applyFont="1" applyFill="1" applyAlignment="1">
      <alignment horizontal="center" vertical="top" wrapText="1"/>
    </xf>
    <xf numFmtId="0" fontId="5" fillId="0" borderId="0" xfId="0" applyFont="1"/>
    <xf numFmtId="0" fontId="30" fillId="0" borderId="40" xfId="0" applyFont="1" applyBorder="1" applyAlignment="1">
      <alignment wrapText="1"/>
    </xf>
    <xf numFmtId="0" fontId="29" fillId="0" borderId="26" xfId="0" applyFont="1" applyBorder="1"/>
    <xf numFmtId="2" fontId="29" fillId="0" borderId="26" xfId="0" applyNumberFormat="1" applyFont="1" applyBorder="1"/>
    <xf numFmtId="3" fontId="29" fillId="0" borderId="56" xfId="0" applyNumberFormat="1" applyFont="1" applyBorder="1"/>
    <xf numFmtId="2" fontId="29" fillId="0" borderId="38" xfId="0" applyNumberFormat="1" applyFont="1" applyBorder="1"/>
    <xf numFmtId="175" fontId="29" fillId="0" borderId="26" xfId="0" applyNumberFormat="1" applyFont="1" applyBorder="1"/>
    <xf numFmtId="0" fontId="29" fillId="0" borderId="56" xfId="0" applyFont="1" applyBorder="1"/>
    <xf numFmtId="175" fontId="29" fillId="0" borderId="38" xfId="0" applyNumberFormat="1" applyFont="1" applyBorder="1"/>
    <xf numFmtId="0" fontId="32" fillId="60" borderId="29" xfId="0" applyFont="1" applyFill="1" applyBorder="1" applyAlignment="1">
      <alignment horizontal="center"/>
    </xf>
    <xf numFmtId="0" fontId="104" fillId="60" borderId="30" xfId="0" applyFont="1" applyFill="1" applyBorder="1" applyAlignment="1">
      <alignment horizontal="center" wrapText="1"/>
    </xf>
    <xf numFmtId="0" fontId="104" fillId="60" borderId="18" xfId="0" applyFont="1" applyFill="1" applyBorder="1" applyAlignment="1">
      <alignment horizontal="center"/>
    </xf>
    <xf numFmtId="0" fontId="104" fillId="60" borderId="18" xfId="0" applyFont="1" applyFill="1" applyBorder="1" applyAlignment="1">
      <alignment horizontal="center" wrapText="1"/>
    </xf>
    <xf numFmtId="0" fontId="104" fillId="60" borderId="33" xfId="0" applyFont="1" applyFill="1" applyBorder="1" applyAlignment="1">
      <alignment horizontal="center" wrapText="1"/>
    </xf>
    <xf numFmtId="0" fontId="4" fillId="60" borderId="37" xfId="0" applyFont="1" applyFill="1" applyBorder="1"/>
    <xf numFmtId="0" fontId="4" fillId="53" borderId="59" xfId="0" applyFont="1" applyFill="1" applyBorder="1"/>
    <xf numFmtId="0" fontId="4" fillId="53" borderId="35" xfId="0" applyFont="1" applyFill="1" applyBorder="1"/>
    <xf numFmtId="0" fontId="4" fillId="53" borderId="46" xfId="0" applyFont="1" applyFill="1" applyBorder="1"/>
    <xf numFmtId="0" fontId="4" fillId="53" borderId="15" xfId="0" applyFont="1" applyFill="1" applyBorder="1"/>
    <xf numFmtId="0" fontId="4" fillId="74" borderId="13" xfId="0" applyFont="1" applyFill="1" applyBorder="1"/>
    <xf numFmtId="166" fontId="105" fillId="74" borderId="35" xfId="55" applyNumberFormat="1" applyFont="1" applyFill="1" applyBorder="1"/>
    <xf numFmtId="166" fontId="105" fillId="58" borderId="35" xfId="55" applyNumberFormat="1" applyFont="1" applyFill="1" applyBorder="1"/>
    <xf numFmtId="166" fontId="105" fillId="56" borderId="35" xfId="55" applyNumberFormat="1" applyFont="1" applyFill="1" applyBorder="1"/>
    <xf numFmtId="166" fontId="105" fillId="58" borderId="13" xfId="55" applyNumberFormat="1" applyFont="1" applyFill="1" applyBorder="1"/>
    <xf numFmtId="0" fontId="43" fillId="0" borderId="17" xfId="0" applyFont="1" applyBorder="1" applyAlignment="1">
      <alignment horizontal="left"/>
    </xf>
    <xf numFmtId="0" fontId="43" fillId="74" borderId="13" xfId="0" applyFont="1" applyFill="1" applyBorder="1" applyAlignment="1">
      <alignment horizontal="left"/>
    </xf>
    <xf numFmtId="0" fontId="43" fillId="0" borderId="17" xfId="0" applyFont="1" applyBorder="1"/>
    <xf numFmtId="0" fontId="43" fillId="74" borderId="13" xfId="0" applyFont="1" applyFill="1" applyBorder="1"/>
    <xf numFmtId="166" fontId="4" fillId="0" borderId="0" xfId="0" applyNumberFormat="1" applyFont="1"/>
    <xf numFmtId="0" fontId="32" fillId="0" borderId="16" xfId="0" applyFont="1" applyBorder="1" applyAlignment="1">
      <alignment horizontal="left"/>
    </xf>
    <xf numFmtId="166" fontId="32" fillId="0" borderId="16" xfId="55" applyNumberFormat="1" applyFont="1" applyFill="1" applyBorder="1"/>
    <xf numFmtId="0" fontId="4" fillId="53" borderId="60" xfId="0" applyFont="1" applyFill="1" applyBorder="1"/>
    <xf numFmtId="0" fontId="43" fillId="0" borderId="0" xfId="0" applyFont="1" applyAlignment="1">
      <alignment horizontal="left"/>
    </xf>
    <xf numFmtId="38" fontId="43" fillId="0" borderId="0" xfId="55" applyNumberFormat="1" applyFont="1" applyFill="1" applyBorder="1"/>
    <xf numFmtId="173" fontId="105" fillId="58" borderId="35" xfId="55" applyNumberFormat="1" applyFont="1" applyFill="1" applyBorder="1"/>
    <xf numFmtId="173" fontId="105" fillId="56" borderId="35" xfId="55" applyNumberFormat="1" applyFont="1" applyFill="1" applyBorder="1"/>
    <xf numFmtId="0" fontId="43" fillId="0" borderId="16" xfId="0" applyFont="1" applyBorder="1" applyAlignment="1">
      <alignment horizontal="left"/>
    </xf>
    <xf numFmtId="166" fontId="105" fillId="0" borderId="16" xfId="55" applyNumberFormat="1" applyFont="1" applyFill="1" applyBorder="1"/>
    <xf numFmtId="166" fontId="105" fillId="74" borderId="16" xfId="55" applyNumberFormat="1" applyFont="1" applyFill="1" applyBorder="1"/>
    <xf numFmtId="0" fontId="32" fillId="0" borderId="0" xfId="0" applyFont="1" applyAlignment="1">
      <alignment horizontal="left"/>
    </xf>
    <xf numFmtId="166" fontId="32" fillId="0" borderId="0" xfId="55" applyNumberFormat="1" applyFont="1" applyFill="1" applyBorder="1"/>
    <xf numFmtId="166" fontId="105" fillId="0" borderId="0" xfId="55" applyNumberFormat="1" applyFont="1" applyFill="1" applyBorder="1"/>
    <xf numFmtId="165" fontId="105" fillId="58" borderId="35" xfId="55" applyNumberFormat="1" applyFont="1" applyFill="1" applyBorder="1"/>
    <xf numFmtId="165" fontId="105" fillId="56" borderId="35" xfId="55" applyNumberFormat="1" applyFont="1" applyFill="1" applyBorder="1"/>
    <xf numFmtId="165" fontId="105" fillId="74" borderId="35" xfId="55" applyNumberFormat="1" applyFont="1" applyFill="1" applyBorder="1"/>
    <xf numFmtId="165" fontId="105" fillId="0" borderId="16" xfId="55" applyNumberFormat="1" applyFont="1" applyFill="1" applyBorder="1"/>
    <xf numFmtId="165" fontId="105" fillId="74" borderId="16" xfId="55" applyNumberFormat="1" applyFont="1" applyFill="1" applyBorder="1"/>
    <xf numFmtId="0" fontId="104" fillId="0" borderId="0" xfId="0" applyFont="1" applyAlignment="1">
      <alignment horizontal="right"/>
    </xf>
    <xf numFmtId="166" fontId="105" fillId="74" borderId="43" xfId="55" applyNumberFormat="1" applyFont="1" applyFill="1" applyBorder="1"/>
    <xf numFmtId="166" fontId="4" fillId="52" borderId="58" xfId="0" applyNumberFormat="1" applyFont="1" applyFill="1" applyBorder="1"/>
    <xf numFmtId="0" fontId="4" fillId="0" borderId="58" xfId="0" applyFont="1" applyBorder="1"/>
    <xf numFmtId="0" fontId="4" fillId="0" borderId="48" xfId="0" applyFont="1" applyBorder="1"/>
    <xf numFmtId="166" fontId="105" fillId="56" borderId="43" xfId="55" applyNumberFormat="1" applyFont="1" applyFill="1" applyBorder="1"/>
    <xf numFmtId="0" fontId="32" fillId="0" borderId="0" xfId="0" applyFont="1" applyAlignment="1">
      <alignment horizontal="right"/>
    </xf>
    <xf numFmtId="38" fontId="105" fillId="0" borderId="0" xfId="55" applyNumberFormat="1" applyFont="1" applyFill="1" applyBorder="1"/>
    <xf numFmtId="43" fontId="4" fillId="0" borderId="0" xfId="0" applyNumberFormat="1" applyFont="1"/>
    <xf numFmtId="0" fontId="4" fillId="0" borderId="21" xfId="0" applyFont="1" applyBorder="1"/>
    <xf numFmtId="166" fontId="4" fillId="0" borderId="21" xfId="0" applyNumberFormat="1" applyFont="1" applyBorder="1"/>
    <xf numFmtId="166" fontId="4" fillId="0" borderId="22" xfId="0" applyNumberFormat="1" applyFont="1" applyBorder="1"/>
    <xf numFmtId="0" fontId="4" fillId="0" borderId="17" xfId="0" applyFont="1" applyBorder="1" applyAlignment="1">
      <alignment horizontal="center"/>
    </xf>
    <xf numFmtId="0" fontId="4" fillId="0" borderId="21" xfId="0" applyFont="1" applyBorder="1" applyAlignment="1">
      <alignment horizontal="center"/>
    </xf>
    <xf numFmtId="3" fontId="4" fillId="0" borderId="0" xfId="0" applyNumberFormat="1" applyFont="1"/>
    <xf numFmtId="166" fontId="4" fillId="0" borderId="14" xfId="0" applyNumberFormat="1" applyFont="1" applyBorder="1"/>
    <xf numFmtId="166" fontId="4" fillId="0" borderId="15" xfId="0" applyNumberFormat="1" applyFont="1" applyBorder="1"/>
    <xf numFmtId="0" fontId="4" fillId="0" borderId="13" xfId="0" applyFont="1" applyBorder="1" applyAlignment="1">
      <alignment horizontal="center"/>
    </xf>
    <xf numFmtId="0" fontId="4" fillId="0" borderId="14" xfId="0" applyFont="1" applyBorder="1" applyAlignment="1">
      <alignment horizontal="center"/>
    </xf>
    <xf numFmtId="0" fontId="43" fillId="0" borderId="0" xfId="0" applyFont="1"/>
    <xf numFmtId="174" fontId="43" fillId="0" borderId="0" xfId="0" applyNumberFormat="1" applyFont="1"/>
    <xf numFmtId="171" fontId="4" fillId="0" borderId="0" xfId="55" applyNumberFormat="1" applyFont="1" applyProtection="1">
      <protection locked="0"/>
    </xf>
    <xf numFmtId="0" fontId="106" fillId="76" borderId="32" xfId="0" applyFont="1" applyFill="1" applyBorder="1"/>
    <xf numFmtId="0" fontId="106" fillId="76" borderId="18" xfId="0" applyFont="1" applyFill="1" applyBorder="1"/>
    <xf numFmtId="0" fontId="106" fillId="76" borderId="33" xfId="0" applyFont="1" applyFill="1" applyBorder="1"/>
    <xf numFmtId="166" fontId="107" fillId="74" borderId="35" xfId="57" applyNumberFormat="1" applyFont="1" applyFill="1" applyBorder="1"/>
    <xf numFmtId="166" fontId="107" fillId="0" borderId="35" xfId="57" applyNumberFormat="1" applyFont="1" applyFill="1" applyBorder="1"/>
    <xf numFmtId="0" fontId="4" fillId="0" borderId="17" xfId="0" applyFont="1" applyBorder="1" applyAlignment="1">
      <alignment horizontal="left"/>
    </xf>
    <xf numFmtId="0" fontId="8" fillId="0" borderId="16" xfId="0" applyFont="1" applyBorder="1" applyAlignment="1">
      <alignment horizontal="left"/>
    </xf>
    <xf numFmtId="166" fontId="8" fillId="0" borderId="16" xfId="55" applyNumberFormat="1" applyFont="1" applyFill="1" applyBorder="1"/>
    <xf numFmtId="0" fontId="4" fillId="66" borderId="32" xfId="0" applyFont="1" applyFill="1" applyBorder="1"/>
    <xf numFmtId="0" fontId="4" fillId="66" borderId="18" xfId="0" applyFont="1" applyFill="1" applyBorder="1"/>
    <xf numFmtId="0" fontId="4" fillId="66" borderId="33" xfId="0" applyFont="1" applyFill="1" applyBorder="1"/>
    <xf numFmtId="166" fontId="4" fillId="0" borderId="35" xfId="57" applyNumberFormat="1" applyFont="1" applyFill="1" applyBorder="1"/>
    <xf numFmtId="166" fontId="4" fillId="74" borderId="35" xfId="57" applyNumberFormat="1" applyFont="1" applyFill="1" applyBorder="1"/>
    <xf numFmtId="166" fontId="101" fillId="0" borderId="0" xfId="55" applyNumberFormat="1" applyFont="1" applyFill="1" applyBorder="1"/>
    <xf numFmtId="166" fontId="107" fillId="0" borderId="0" xfId="55" applyNumberFormat="1" applyFont="1" applyFill="1" applyBorder="1"/>
    <xf numFmtId="166" fontId="107" fillId="65" borderId="35" xfId="55" applyNumberFormat="1" applyFont="1" applyFill="1" applyBorder="1"/>
    <xf numFmtId="0" fontId="4" fillId="52" borderId="17" xfId="0" applyFont="1" applyFill="1" applyBorder="1" applyAlignment="1">
      <alignment horizontal="left"/>
    </xf>
    <xf numFmtId="166" fontId="107" fillId="0" borderId="13" xfId="57" applyNumberFormat="1" applyFont="1" applyFill="1" applyBorder="1"/>
    <xf numFmtId="166" fontId="78" fillId="0" borderId="0" xfId="55" applyNumberFormat="1" applyFont="1" applyFill="1" applyBorder="1"/>
    <xf numFmtId="0" fontId="4" fillId="0" borderId="58" xfId="0" applyFont="1" applyBorder="1" applyAlignment="1">
      <alignment horizontal="left"/>
    </xf>
    <xf numFmtId="166" fontId="107" fillId="0" borderId="35" xfId="55" applyNumberFormat="1" applyFont="1" applyFill="1" applyBorder="1"/>
    <xf numFmtId="166" fontId="107" fillId="0" borderId="0" xfId="57" applyNumberFormat="1" applyFont="1" applyFill="1" applyBorder="1"/>
    <xf numFmtId="166" fontId="107" fillId="0" borderId="16" xfId="57" applyNumberFormat="1" applyFont="1" applyFill="1" applyBorder="1"/>
    <xf numFmtId="166" fontId="107" fillId="0" borderId="23" xfId="55" applyNumberFormat="1" applyFont="1" applyFill="1" applyBorder="1"/>
    <xf numFmtId="166" fontId="107" fillId="0" borderId="17" xfId="57" applyNumberFormat="1" applyFont="1" applyFill="1" applyBorder="1"/>
    <xf numFmtId="166" fontId="107" fillId="0" borderId="17" xfId="55" applyNumberFormat="1" applyFont="1" applyFill="1" applyBorder="1"/>
    <xf numFmtId="166" fontId="8" fillId="0" borderId="16" xfId="57" applyNumberFormat="1" applyFont="1" applyFill="1" applyBorder="1"/>
    <xf numFmtId="166" fontId="8" fillId="0" borderId="35" xfId="57" applyNumberFormat="1" applyFont="1" applyFill="1" applyBorder="1"/>
    <xf numFmtId="166" fontId="8" fillId="0" borderId="13" xfId="57" applyNumberFormat="1" applyFont="1" applyFill="1" applyBorder="1"/>
    <xf numFmtId="166" fontId="107" fillId="0" borderId="61" xfId="57" applyNumberFormat="1" applyFont="1" applyFill="1" applyBorder="1"/>
    <xf numFmtId="166" fontId="107" fillId="0" borderId="61" xfId="55" applyNumberFormat="1" applyFont="1" applyFill="1" applyBorder="1"/>
    <xf numFmtId="3" fontId="29" fillId="54" borderId="0" xfId="0" applyNumberFormat="1" applyFont="1" applyFill="1"/>
    <xf numFmtId="38" fontId="4" fillId="54" borderId="16" xfId="55" applyNumberFormat="1" applyFont="1" applyFill="1" applyBorder="1" applyAlignment="1">
      <alignment horizontal="center" vertical="center"/>
    </xf>
    <xf numFmtId="0" fontId="108" fillId="0" borderId="0" xfId="0" applyFont="1" applyAlignment="1">
      <alignment vertical="center"/>
    </xf>
    <xf numFmtId="0" fontId="40" fillId="0" borderId="0" xfId="0" applyFont="1"/>
    <xf numFmtId="0" fontId="4" fillId="0" borderId="0" xfId="0" applyFont="1" applyAlignment="1">
      <alignment wrapText="1"/>
    </xf>
    <xf numFmtId="3" fontId="4" fillId="65" borderId="0" xfId="0" applyNumberFormat="1" applyFont="1" applyFill="1"/>
    <xf numFmtId="0" fontId="4" fillId="66" borderId="0" xfId="0" applyFont="1" applyFill="1"/>
    <xf numFmtId="4" fontId="4" fillId="65" borderId="0" xfId="0" applyNumberFormat="1" applyFont="1" applyFill="1"/>
    <xf numFmtId="164" fontId="75" fillId="20" borderId="16" xfId="0" quotePrefix="1" applyNumberFormat="1" applyFont="1" applyFill="1" applyBorder="1"/>
    <xf numFmtId="3" fontId="3" fillId="54" borderId="58" xfId="87" applyNumberFormat="1" applyFont="1" applyFill="1" applyBorder="1"/>
    <xf numFmtId="0" fontId="8" fillId="0" borderId="22" xfId="0" applyFont="1" applyBorder="1" applyAlignment="1">
      <alignment horizontal="center" wrapText="1"/>
    </xf>
    <xf numFmtId="0" fontId="109" fillId="0" borderId="0" xfId="76" applyFont="1" applyAlignment="1" applyProtection="1"/>
    <xf numFmtId="0" fontId="6" fillId="0" borderId="0" xfId="76" applyFill="1" applyAlignment="1" applyProtection="1"/>
    <xf numFmtId="0" fontId="0" fillId="52" borderId="0" xfId="0" applyFill="1"/>
    <xf numFmtId="0" fontId="33" fillId="59" borderId="0" xfId="0" applyFont="1" applyFill="1" applyAlignment="1">
      <alignment horizontal="left"/>
    </xf>
    <xf numFmtId="172" fontId="0" fillId="0" borderId="0" xfId="0" applyNumberFormat="1"/>
    <xf numFmtId="172" fontId="4" fillId="0" borderId="0" xfId="0" applyNumberFormat="1" applyFont="1"/>
    <xf numFmtId="168" fontId="0" fillId="64" borderId="0" xfId="0" applyNumberFormat="1" applyFill="1"/>
    <xf numFmtId="9" fontId="78" fillId="0" borderId="0" xfId="87" applyNumberFormat="1" applyFont="1"/>
    <xf numFmtId="3" fontId="29" fillId="0" borderId="0" xfId="0" applyNumberFormat="1" applyFont="1" applyAlignment="1">
      <alignment wrapText="1"/>
    </xf>
    <xf numFmtId="166" fontId="4" fillId="0" borderId="0" xfId="55" applyNumberFormat="1" applyFont="1" applyBorder="1"/>
    <xf numFmtId="0" fontId="43" fillId="0" borderId="29" xfId="0" applyFont="1" applyBorder="1" applyAlignment="1">
      <alignment horizontal="right"/>
    </xf>
    <xf numFmtId="0" fontId="43" fillId="0" borderId="39" xfId="0" applyFont="1" applyBorder="1"/>
    <xf numFmtId="0" fontId="43" fillId="0" borderId="40" xfId="0" applyFont="1" applyBorder="1"/>
    <xf numFmtId="0" fontId="43" fillId="0" borderId="25" xfId="0" applyFont="1" applyBorder="1" applyAlignment="1">
      <alignment horizontal="right"/>
    </xf>
    <xf numFmtId="0" fontId="43" fillId="0" borderId="56" xfId="0" applyFont="1" applyBorder="1"/>
    <xf numFmtId="0" fontId="43" fillId="0" borderId="38" xfId="0" applyFont="1" applyBorder="1"/>
    <xf numFmtId="167" fontId="3" fillId="0" borderId="0" xfId="92" applyNumberFormat="1" applyFont="1" applyBorder="1"/>
    <xf numFmtId="0" fontId="4" fillId="52" borderId="0" xfId="0" applyFont="1" applyFill="1" applyAlignment="1">
      <alignment horizontal="right"/>
    </xf>
    <xf numFmtId="3" fontId="0" fillId="52" borderId="0" xfId="0" applyNumberFormat="1" applyFill="1"/>
    <xf numFmtId="174" fontId="0" fillId="52" borderId="20" xfId="0" applyNumberFormat="1" applyFill="1" applyBorder="1"/>
    <xf numFmtId="0" fontId="4" fillId="52" borderId="16" xfId="0" applyFont="1" applyFill="1" applyBorder="1"/>
    <xf numFmtId="0" fontId="4" fillId="52" borderId="0" xfId="0" applyFont="1" applyFill="1"/>
    <xf numFmtId="0" fontId="8" fillId="52" borderId="0" xfId="0" applyFont="1" applyFill="1"/>
    <xf numFmtId="0" fontId="4" fillId="52" borderId="0" xfId="0" applyFont="1" applyFill="1" applyAlignment="1">
      <alignment horizontal="left"/>
    </xf>
    <xf numFmtId="0" fontId="4" fillId="52" borderId="16" xfId="0" applyFont="1" applyFill="1" applyBorder="1" applyAlignment="1">
      <alignment vertical="center" wrapText="1"/>
    </xf>
    <xf numFmtId="0" fontId="8" fillId="52" borderId="16" xfId="0" applyFont="1" applyFill="1" applyBorder="1" applyAlignment="1">
      <alignment wrapText="1"/>
    </xf>
    <xf numFmtId="0" fontId="8" fillId="0" borderId="29" xfId="0" applyFont="1" applyBorder="1" applyAlignment="1">
      <alignment vertical="top"/>
    </xf>
    <xf numFmtId="0" fontId="4" fillId="0" borderId="39" xfId="0" applyFont="1" applyBorder="1" applyAlignment="1">
      <alignment vertical="top" wrapText="1"/>
    </xf>
    <xf numFmtId="0" fontId="4" fillId="0" borderId="40" xfId="0" applyFont="1" applyBorder="1" applyAlignment="1">
      <alignment vertical="top" wrapText="1"/>
    </xf>
    <xf numFmtId="0" fontId="4" fillId="52" borderId="24" xfId="0" applyFont="1" applyFill="1" applyBorder="1"/>
    <xf numFmtId="0" fontId="4" fillId="0" borderId="62" xfId="0" applyFont="1" applyBorder="1"/>
    <xf numFmtId="0" fontId="4" fillId="0" borderId="25" xfId="0" applyFont="1" applyBorder="1" applyAlignment="1">
      <alignment horizontal="right"/>
    </xf>
    <xf numFmtId="0" fontId="6" fillId="0" borderId="56" xfId="76" applyBorder="1" applyAlignment="1" applyProtection="1"/>
    <xf numFmtId="166" fontId="4" fillId="0" borderId="0" xfId="0" applyNumberFormat="1" applyFont="1" applyAlignment="1">
      <alignment horizontal="right"/>
    </xf>
    <xf numFmtId="0" fontId="8" fillId="0" borderId="0" xfId="0" applyFont="1" applyAlignment="1">
      <alignment horizontal="right"/>
    </xf>
    <xf numFmtId="0" fontId="107" fillId="0" borderId="0" xfId="0" applyFont="1"/>
    <xf numFmtId="166" fontId="107" fillId="52" borderId="35" xfId="57" applyNumberFormat="1" applyFont="1" applyFill="1" applyBorder="1"/>
    <xf numFmtId="0" fontId="66" fillId="19" borderId="0" xfId="0" applyFont="1" applyFill="1"/>
    <xf numFmtId="14" fontId="2" fillId="52" borderId="16" xfId="0" applyNumberFormat="1" applyFont="1" applyFill="1" applyBorder="1"/>
    <xf numFmtId="0" fontId="68" fillId="0" borderId="0" xfId="87" applyFont="1"/>
    <xf numFmtId="0" fontId="78" fillId="0" borderId="0" xfId="87" applyFont="1"/>
    <xf numFmtId="0" fontId="5" fillId="56" borderId="0" xfId="0" applyFont="1" applyFill="1" applyAlignment="1">
      <alignment horizontal="left" wrapText="1"/>
    </xf>
    <xf numFmtId="3" fontId="74" fillId="52" borderId="0" xfId="0" applyNumberFormat="1" applyFont="1" applyFill="1"/>
    <xf numFmtId="0" fontId="6" fillId="0" borderId="0" xfId="76" applyBorder="1" applyAlignment="1" applyProtection="1">
      <alignment horizontal="left"/>
    </xf>
    <xf numFmtId="43" fontId="49" fillId="57" borderId="0" xfId="55" applyFont="1" applyFill="1"/>
    <xf numFmtId="43" fontId="75" fillId="0" borderId="56" xfId="55" applyFont="1" applyBorder="1"/>
    <xf numFmtId="38" fontId="78" fillId="0" borderId="0" xfId="87" applyNumberFormat="1" applyFont="1"/>
    <xf numFmtId="9" fontId="78" fillId="0" borderId="0" xfId="87" applyNumberFormat="1" applyFont="1" applyAlignment="1">
      <alignment horizontal="right"/>
    </xf>
    <xf numFmtId="167" fontId="68" fillId="0" borderId="0" xfId="92" applyNumberFormat="1" applyFont="1" applyFill="1" applyBorder="1"/>
    <xf numFmtId="0" fontId="1" fillId="52" borderId="0" xfId="0" applyFont="1" applyFill="1"/>
    <xf numFmtId="0" fontId="112" fillId="0" borderId="16" xfId="0" applyFont="1" applyBorder="1" applyAlignment="1">
      <alignment horizontal="right" wrapText="1"/>
    </xf>
    <xf numFmtId="0" fontId="112" fillId="0" borderId="16" xfId="0" applyFont="1" applyBorder="1" applyAlignment="1">
      <alignment horizontal="left" wrapText="1"/>
    </xf>
    <xf numFmtId="3" fontId="112" fillId="0" borderId="16" xfId="0" applyNumberFormat="1" applyFont="1" applyBorder="1" applyAlignment="1">
      <alignment horizontal="right" wrapText="1"/>
    </xf>
    <xf numFmtId="0" fontId="113" fillId="59" borderId="0" xfId="0" applyFont="1" applyFill="1" applyAlignment="1">
      <alignment horizontal="left"/>
    </xf>
    <xf numFmtId="0" fontId="3" fillId="64" borderId="0" xfId="0" applyFont="1" applyFill="1" applyAlignment="1">
      <alignment horizontal="right" wrapText="1"/>
    </xf>
    <xf numFmtId="169" fontId="1" fillId="62" borderId="0" xfId="0" applyNumberFormat="1" applyFont="1" applyFill="1"/>
    <xf numFmtId="0" fontId="1" fillId="56" borderId="0" xfId="0" applyFont="1" applyFill="1"/>
    <xf numFmtId="3" fontId="3" fillId="0" borderId="0" xfId="87" applyNumberFormat="1" applyFont="1"/>
    <xf numFmtId="3" fontId="1" fillId="0" borderId="0" xfId="87" applyNumberFormat="1" applyFont="1"/>
    <xf numFmtId="3" fontId="1" fillId="72" borderId="0" xfId="87" applyNumberFormat="1" applyFont="1" applyFill="1"/>
    <xf numFmtId="3" fontId="1" fillId="54" borderId="0" xfId="87" applyNumberFormat="1" applyFont="1" applyFill="1"/>
    <xf numFmtId="3" fontId="1" fillId="0" borderId="56" xfId="87" applyNumberFormat="1" applyFont="1" applyBorder="1"/>
    <xf numFmtId="0" fontId="28" fillId="0" borderId="56" xfId="87" applyFont="1" applyBorder="1" applyAlignment="1">
      <alignment horizontal="left"/>
    </xf>
    <xf numFmtId="167" fontId="3" fillId="0" borderId="56" xfId="92" applyNumberFormat="1" applyFont="1" applyBorder="1"/>
    <xf numFmtId="0" fontId="3" fillId="0" borderId="0" xfId="87" applyFont="1" applyAlignment="1">
      <alignment horizontal="left"/>
    </xf>
    <xf numFmtId="0" fontId="33" fillId="52" borderId="0" xfId="0" applyFont="1" applyFill="1" applyAlignment="1">
      <alignment horizontal="left"/>
    </xf>
    <xf numFmtId="0" fontId="2" fillId="59" borderId="0" xfId="0" applyFont="1" applyFill="1" applyAlignment="1">
      <alignment horizontal="left"/>
    </xf>
    <xf numFmtId="0" fontId="6" fillId="0" borderId="0" xfId="76" applyFill="1" applyBorder="1" applyAlignment="1" applyProtection="1"/>
    <xf numFmtId="0" fontId="68" fillId="0" borderId="26" xfId="87" applyFont="1" applyBorder="1"/>
    <xf numFmtId="0" fontId="102" fillId="0" borderId="0" xfId="87" applyFont="1"/>
    <xf numFmtId="0" fontId="1" fillId="0" borderId="0" xfId="0" applyFont="1"/>
    <xf numFmtId="168" fontId="1" fillId="0" borderId="0" xfId="0" applyNumberFormat="1" applyFont="1"/>
    <xf numFmtId="168" fontId="1" fillId="64" borderId="0" xfId="0" applyNumberFormat="1" applyFont="1" applyFill="1"/>
    <xf numFmtId="166" fontId="102" fillId="58" borderId="35" xfId="55" applyNumberFormat="1" applyFont="1" applyFill="1" applyBorder="1"/>
    <xf numFmtId="0" fontId="102" fillId="0" borderId="17" xfId="0" applyFont="1" applyBorder="1" applyAlignment="1">
      <alignment horizontal="left"/>
    </xf>
    <xf numFmtId="3" fontId="114" fillId="0" borderId="0" xfId="0" applyNumberFormat="1" applyFont="1" applyAlignment="1">
      <alignment horizontal="right"/>
    </xf>
    <xf numFmtId="176" fontId="99" fillId="0" borderId="56" xfId="87" applyNumberFormat="1" applyFont="1" applyBorder="1"/>
    <xf numFmtId="166" fontId="4" fillId="0" borderId="0" xfId="55" applyNumberFormat="1" applyFont="1" applyFill="1" applyBorder="1"/>
    <xf numFmtId="166" fontId="3" fillId="0" borderId="0" xfId="55" applyNumberFormat="1" applyFont="1" applyFill="1" applyBorder="1"/>
    <xf numFmtId="3" fontId="3" fillId="0" borderId="56" xfId="87" applyNumberFormat="1" applyFont="1" applyBorder="1"/>
    <xf numFmtId="166" fontId="1" fillId="0" borderId="35" xfId="57" applyNumberFormat="1" applyFont="1" applyFill="1" applyBorder="1"/>
    <xf numFmtId="0" fontId="0" fillId="64" borderId="0" xfId="0" applyFill="1"/>
    <xf numFmtId="0" fontId="8" fillId="0" borderId="58" xfId="0" applyFont="1" applyBorder="1" applyAlignment="1">
      <alignment horizontal="center"/>
    </xf>
    <xf numFmtId="166" fontId="8" fillId="60" borderId="58" xfId="56" applyNumberFormat="1" applyFont="1" applyFill="1" applyBorder="1" applyAlignment="1">
      <alignment horizontal="center"/>
    </xf>
    <xf numFmtId="14" fontId="1" fillId="0" borderId="0" xfId="0" applyNumberFormat="1" applyFont="1" applyAlignment="1">
      <alignment horizontal="left"/>
    </xf>
    <xf numFmtId="3" fontId="4" fillId="0" borderId="58" xfId="87" applyNumberFormat="1" applyFont="1" applyBorder="1"/>
    <xf numFmtId="172" fontId="68" fillId="0" borderId="0" xfId="0" applyNumberFormat="1" applyFont="1"/>
    <xf numFmtId="168" fontId="68" fillId="64" borderId="0" xfId="0" applyNumberFormat="1" applyFont="1" applyFill="1"/>
    <xf numFmtId="168" fontId="68" fillId="0" borderId="0" xfId="0" applyNumberFormat="1" applyFont="1"/>
    <xf numFmtId="0" fontId="90" fillId="0" borderId="58" xfId="0" applyFont="1" applyBorder="1" applyAlignment="1">
      <alignment horizontal="center" vertical="center"/>
    </xf>
    <xf numFmtId="166" fontId="115" fillId="0" borderId="10" xfId="0" applyNumberFormat="1" applyFont="1" applyBorder="1"/>
    <xf numFmtId="166" fontId="115" fillId="0" borderId="11" xfId="0" applyNumberFormat="1" applyFont="1" applyBorder="1"/>
    <xf numFmtId="166" fontId="115" fillId="0" borderId="19" xfId="0" applyNumberFormat="1" applyFont="1" applyBorder="1"/>
    <xf numFmtId="166" fontId="115" fillId="0" borderId="12" xfId="0" applyNumberFormat="1" applyFont="1" applyBorder="1"/>
    <xf numFmtId="166" fontId="115" fillId="0" borderId="0" xfId="0" applyNumberFormat="1" applyFont="1"/>
    <xf numFmtId="166" fontId="115" fillId="0" borderId="20" xfId="0" applyNumberFormat="1" applyFont="1" applyBorder="1"/>
    <xf numFmtId="166" fontId="115" fillId="0" borderId="13" xfId="0" applyNumberFormat="1" applyFont="1" applyBorder="1"/>
    <xf numFmtId="166" fontId="115" fillId="0" borderId="14" xfId="0" applyNumberFormat="1" applyFont="1" applyBorder="1"/>
    <xf numFmtId="166" fontId="115" fillId="0" borderId="15" xfId="0" applyNumberFormat="1" applyFont="1" applyBorder="1"/>
    <xf numFmtId="166" fontId="116" fillId="0" borderId="13" xfId="0" applyNumberFormat="1" applyFont="1" applyBorder="1"/>
    <xf numFmtId="166" fontId="116" fillId="0" borderId="14" xfId="0" applyNumberFormat="1" applyFont="1" applyBorder="1"/>
    <xf numFmtId="166" fontId="116" fillId="0" borderId="15" xfId="0" applyNumberFormat="1" applyFont="1" applyBorder="1"/>
    <xf numFmtId="0" fontId="117" fillId="0" borderId="0" xfId="0" applyFont="1"/>
    <xf numFmtId="0" fontId="119" fillId="0" borderId="0" xfId="0" applyFont="1"/>
    <xf numFmtId="3" fontId="90" fillId="0" borderId="16" xfId="0" applyNumberFormat="1" applyFont="1" applyBorder="1" applyAlignment="1">
      <alignment horizontal="center" vertical="center" wrapText="1"/>
    </xf>
    <xf numFmtId="168" fontId="90" fillId="0" borderId="27" xfId="0" applyNumberFormat="1" applyFont="1" applyBorder="1" applyAlignment="1">
      <alignment horizontal="center" vertical="center" wrapText="1"/>
    </xf>
    <xf numFmtId="3" fontId="90" fillId="71" borderId="16" xfId="0" applyNumberFormat="1" applyFont="1" applyFill="1" applyBorder="1" applyAlignment="1">
      <alignment horizontal="center" vertical="center"/>
    </xf>
    <xf numFmtId="3" fontId="90" fillId="71" borderId="27" xfId="0" applyNumberFormat="1" applyFont="1" applyFill="1" applyBorder="1" applyAlignment="1">
      <alignment horizontal="center" vertical="center"/>
    </xf>
    <xf numFmtId="3" fontId="90" fillId="71" borderId="28" xfId="0" applyNumberFormat="1" applyFont="1" applyFill="1" applyBorder="1" applyAlignment="1">
      <alignment horizontal="center" vertical="center"/>
    </xf>
    <xf numFmtId="3" fontId="90" fillId="71" borderId="37" xfId="0" applyNumberFormat="1" applyFont="1" applyFill="1" applyBorder="1" applyAlignment="1">
      <alignment horizontal="center" vertical="center"/>
    </xf>
    <xf numFmtId="0" fontId="41" fillId="0" borderId="45" xfId="0" applyFont="1" applyBorder="1" applyAlignment="1">
      <alignment horizontal="center" wrapText="1"/>
    </xf>
    <xf numFmtId="0" fontId="41" fillId="0" borderId="47" xfId="0" applyFont="1" applyBorder="1" applyAlignment="1">
      <alignment horizontal="center" wrapText="1"/>
    </xf>
    <xf numFmtId="0" fontId="41" fillId="0" borderId="42" xfId="0" applyFont="1" applyBorder="1" applyAlignment="1">
      <alignment horizontal="center" wrapText="1"/>
    </xf>
    <xf numFmtId="0" fontId="41" fillId="0" borderId="44" xfId="0" applyFont="1" applyBorder="1" applyAlignment="1">
      <alignment horizontal="center" wrapText="1"/>
    </xf>
    <xf numFmtId="0" fontId="90" fillId="0" borderId="66" xfId="0" applyFont="1" applyBorder="1" applyAlignment="1">
      <alignment horizontal="right" wrapText="1"/>
    </xf>
    <xf numFmtId="166" fontId="75" fillId="70" borderId="16" xfId="55" applyNumberFormat="1" applyFont="1" applyFill="1" applyBorder="1"/>
    <xf numFmtId="0" fontId="90" fillId="0" borderId="66" xfId="0" applyFont="1" applyBorder="1" applyAlignment="1">
      <alignment horizontal="right"/>
    </xf>
    <xf numFmtId="166" fontId="75" fillId="0" borderId="21" xfId="56" applyNumberFormat="1" applyFont="1" applyFill="1" applyBorder="1" applyAlignment="1">
      <alignment horizontal="center"/>
    </xf>
    <xf numFmtId="37" fontId="75" fillId="0" borderId="64" xfId="56" applyNumberFormat="1" applyFont="1" applyFill="1" applyBorder="1" applyAlignment="1">
      <alignment horizontal="right"/>
    </xf>
    <xf numFmtId="0" fontId="90" fillId="0" borderId="61" xfId="0" applyFont="1" applyBorder="1" applyAlignment="1">
      <alignment horizontal="right"/>
    </xf>
    <xf numFmtId="166" fontId="75" fillId="0" borderId="55" xfId="56" applyNumberFormat="1" applyFont="1" applyFill="1" applyBorder="1" applyAlignment="1">
      <alignment horizontal="center"/>
    </xf>
    <xf numFmtId="37" fontId="75" fillId="0" borderId="50" xfId="56" applyNumberFormat="1" applyFont="1" applyFill="1" applyBorder="1" applyAlignment="1">
      <alignment horizontal="right"/>
    </xf>
    <xf numFmtId="166" fontId="75" fillId="0" borderId="37" xfId="56" applyNumberFormat="1" applyFont="1" applyFill="1" applyBorder="1" applyAlignment="1">
      <alignment horizontal="center"/>
    </xf>
    <xf numFmtId="166" fontId="75" fillId="0" borderId="27" xfId="56" applyNumberFormat="1" applyFont="1" applyFill="1" applyBorder="1" applyAlignment="1">
      <alignment horizontal="center"/>
    </xf>
    <xf numFmtId="3" fontId="75" fillId="20" borderId="53" xfId="0" quotePrefix="1" applyNumberFormat="1" applyFont="1" applyFill="1" applyBorder="1"/>
    <xf numFmtId="0" fontId="1" fillId="0" borderId="0" xfId="0" applyFont="1" applyAlignment="1">
      <alignment horizontal="right"/>
    </xf>
    <xf numFmtId="43" fontId="0" fillId="0" borderId="0" xfId="55" applyFont="1"/>
    <xf numFmtId="0" fontId="29" fillId="77" borderId="0" xfId="0" applyFont="1" applyFill="1" applyAlignment="1">
      <alignment horizontal="right"/>
    </xf>
    <xf numFmtId="3" fontId="29" fillId="77" borderId="0" xfId="0" applyNumberFormat="1" applyFont="1" applyFill="1"/>
    <xf numFmtId="168" fontId="0" fillId="77" borderId="12" xfId="0" applyNumberFormat="1" applyFill="1" applyBorder="1"/>
    <xf numFmtId="168" fontId="0" fillId="77" borderId="13" xfId="0" applyNumberFormat="1" applyFill="1" applyBorder="1"/>
    <xf numFmtId="168" fontId="0" fillId="77" borderId="23" xfId="0" applyNumberFormat="1" applyFill="1" applyBorder="1"/>
    <xf numFmtId="168" fontId="0" fillId="77" borderId="36" xfId="0" applyNumberFormat="1" applyFill="1" applyBorder="1"/>
    <xf numFmtId="168" fontId="0" fillId="77" borderId="35" xfId="0" applyNumberFormat="1" applyFill="1" applyBorder="1"/>
    <xf numFmtId="171" fontId="4" fillId="77" borderId="0" xfId="55" applyNumberFormat="1" applyFont="1" applyFill="1" applyProtection="1">
      <protection locked="0"/>
    </xf>
    <xf numFmtId="171" fontId="4" fillId="77" borderId="0" xfId="0" applyNumberFormat="1" applyFont="1" applyFill="1"/>
    <xf numFmtId="0" fontId="1" fillId="0" borderId="0" xfId="0" applyFont="1" applyAlignment="1" applyProtection="1">
      <alignment wrapText="1"/>
      <protection locked="0"/>
    </xf>
    <xf numFmtId="3" fontId="0" fillId="77" borderId="0" xfId="0" applyNumberFormat="1" applyFill="1"/>
    <xf numFmtId="0" fontId="0" fillId="77" borderId="0" xfId="0" applyFill="1"/>
    <xf numFmtId="0" fontId="4" fillId="77" borderId="0" xfId="0" applyFont="1" applyFill="1" applyAlignment="1">
      <alignment horizontal="right"/>
    </xf>
    <xf numFmtId="0" fontId="4" fillId="77" borderId="0" xfId="0" applyFont="1" applyFill="1"/>
    <xf numFmtId="0" fontId="1" fillId="0" borderId="0" xfId="0" applyFont="1" applyAlignment="1">
      <alignment horizontal="center" wrapText="1"/>
    </xf>
    <xf numFmtId="0" fontId="1" fillId="60" borderId="27" xfId="0" applyFont="1" applyFill="1" applyBorder="1"/>
    <xf numFmtId="164" fontId="8" fillId="0" borderId="16" xfId="0" applyNumberFormat="1" applyFont="1" applyBorder="1" applyAlignment="1">
      <alignment horizontal="right"/>
    </xf>
    <xf numFmtId="164" fontId="121" fillId="0" borderId="16" xfId="0" applyNumberFormat="1" applyFont="1" applyBorder="1"/>
    <xf numFmtId="165" fontId="0" fillId="0" borderId="0" xfId="55" applyNumberFormat="1" applyFont="1" applyBorder="1" applyAlignment="1"/>
    <xf numFmtId="0" fontId="121" fillId="0" borderId="0" xfId="0" applyFont="1" applyAlignment="1">
      <alignment horizontal="left"/>
    </xf>
    <xf numFmtId="0" fontId="90" fillId="0" borderId="42" xfId="0" applyFont="1" applyBorder="1" applyAlignment="1">
      <alignment horizontal="center" vertical="center" wrapText="1"/>
    </xf>
    <xf numFmtId="0" fontId="90" fillId="0" borderId="43" xfId="0" applyFont="1" applyBorder="1" applyAlignment="1">
      <alignment horizontal="center" vertical="center"/>
    </xf>
    <xf numFmtId="0" fontId="95" fillId="0" borderId="48" xfId="0" applyFont="1" applyBorder="1" applyAlignment="1">
      <alignment horizontal="center" vertical="center" wrapText="1"/>
    </xf>
    <xf numFmtId="0" fontId="95" fillId="0" borderId="61" xfId="0" applyFont="1" applyBorder="1" applyAlignment="1">
      <alignment horizontal="center" vertical="center" wrapText="1"/>
    </xf>
    <xf numFmtId="0" fontId="95" fillId="0" borderId="29" xfId="0" applyFont="1" applyBorder="1" applyAlignment="1">
      <alignment horizontal="center" vertical="center" wrapText="1"/>
    </xf>
    <xf numFmtId="0" fontId="95" fillId="0" borderId="40" xfId="0" applyFont="1" applyBorder="1" applyAlignment="1">
      <alignment horizontal="center" vertical="center" wrapText="1"/>
    </xf>
    <xf numFmtId="0" fontId="95" fillId="0" borderId="25" xfId="0" applyFont="1" applyBorder="1" applyAlignment="1">
      <alignment horizontal="center" vertical="center" wrapText="1"/>
    </xf>
    <xf numFmtId="0" fontId="95" fillId="0" borderId="38" xfId="0" applyFont="1" applyBorder="1" applyAlignment="1">
      <alignment horizontal="center" vertical="center" wrapText="1"/>
    </xf>
    <xf numFmtId="0" fontId="110" fillId="0" borderId="29" xfId="0" applyFont="1" applyBorder="1" applyAlignment="1">
      <alignment horizontal="center" vertical="center" wrapText="1"/>
    </xf>
    <xf numFmtId="0" fontId="110" fillId="0" borderId="39" xfId="0" applyFont="1" applyBorder="1" applyAlignment="1">
      <alignment horizontal="center" vertical="center" wrapText="1"/>
    </xf>
    <xf numFmtId="0" fontId="110" fillId="0" borderId="40" xfId="0" applyFont="1" applyBorder="1" applyAlignment="1">
      <alignment horizontal="center" vertical="center" wrapText="1"/>
    </xf>
    <xf numFmtId="0" fontId="110" fillId="0" borderId="24" xfId="0" applyFont="1" applyBorder="1" applyAlignment="1">
      <alignment horizontal="center" vertical="center" wrapText="1"/>
    </xf>
    <xf numFmtId="0" fontId="110" fillId="0" borderId="0" xfId="0" applyFont="1" applyAlignment="1">
      <alignment horizontal="center" vertical="center" wrapText="1"/>
    </xf>
    <xf numFmtId="0" fontId="110" fillId="0" borderId="26" xfId="0" applyFont="1" applyBorder="1" applyAlignment="1">
      <alignment horizontal="center" vertical="center" wrapText="1"/>
    </xf>
    <xf numFmtId="0" fontId="110" fillId="0" borderId="25" xfId="0" applyFont="1" applyBorder="1" applyAlignment="1">
      <alignment horizontal="center" vertical="center" wrapText="1"/>
    </xf>
    <xf numFmtId="0" fontId="110" fillId="0" borderId="56" xfId="0" applyFont="1" applyBorder="1" applyAlignment="1">
      <alignment horizontal="center" vertical="center" wrapText="1"/>
    </xf>
    <xf numFmtId="0" fontId="110" fillId="0" borderId="38" xfId="0" applyFont="1" applyBorder="1" applyAlignment="1">
      <alignment horizontal="center" vertical="center" wrapText="1"/>
    </xf>
    <xf numFmtId="0" fontId="111" fillId="0" borderId="63" xfId="0" applyFont="1" applyBorder="1" applyAlignment="1">
      <alignment horizontal="right" vertical="center" wrapText="1"/>
    </xf>
    <xf numFmtId="0" fontId="111" fillId="0" borderId="22" xfId="0" applyFont="1" applyBorder="1" applyAlignment="1">
      <alignment horizontal="right" vertical="center" wrapText="1"/>
    </xf>
    <xf numFmtId="43" fontId="75" fillId="0" borderId="64" xfId="56" applyFont="1" applyFill="1" applyBorder="1" applyAlignment="1">
      <alignment horizontal="right" vertical="center"/>
    </xf>
    <xf numFmtId="43" fontId="75" fillId="0" borderId="16" xfId="56" applyFont="1" applyFill="1" applyBorder="1" applyAlignment="1">
      <alignment horizontal="right" vertical="center"/>
    </xf>
    <xf numFmtId="43" fontId="75" fillId="0" borderId="50" xfId="56" applyFont="1" applyFill="1" applyBorder="1" applyAlignment="1">
      <alignment horizontal="right" vertical="center"/>
    </xf>
    <xf numFmtId="43" fontId="75" fillId="0" borderId="28" xfId="56" applyFont="1" applyFill="1" applyBorder="1" applyAlignment="1">
      <alignment horizontal="right" vertical="center"/>
    </xf>
    <xf numFmtId="43" fontId="90" fillId="0" borderId="43" xfId="56" applyFont="1" applyFill="1" applyBorder="1" applyAlignment="1">
      <alignment horizontal="center" vertical="center" wrapText="1"/>
    </xf>
    <xf numFmtId="43" fontId="90" fillId="0" borderId="44" xfId="56" applyFont="1" applyFill="1" applyBorder="1" applyAlignment="1">
      <alignment horizontal="center" vertical="center" wrapText="1"/>
    </xf>
    <xf numFmtId="0" fontId="95" fillId="0" borderId="39" xfId="0" applyFont="1" applyBorder="1" applyAlignment="1">
      <alignment horizontal="center" vertical="center" wrapText="1"/>
    </xf>
    <xf numFmtId="0" fontId="95" fillId="0" borderId="56" xfId="0" applyFont="1" applyBorder="1" applyAlignment="1">
      <alignment horizontal="center" vertical="center" wrapText="1"/>
    </xf>
    <xf numFmtId="0" fontId="95" fillId="0" borderId="24" xfId="0" applyFont="1" applyBorder="1" applyAlignment="1">
      <alignment horizontal="center" vertical="center" wrapText="1"/>
    </xf>
    <xf numFmtId="0" fontId="95" fillId="0" borderId="26" xfId="0" applyFont="1" applyBorder="1" applyAlignment="1">
      <alignment horizontal="center" vertical="center" wrapText="1"/>
    </xf>
    <xf numFmtId="0" fontId="95" fillId="0" borderId="30" xfId="0" applyFont="1" applyBorder="1" applyAlignment="1">
      <alignment horizontal="center" vertical="center"/>
    </xf>
    <xf numFmtId="0" fontId="95" fillId="0" borderId="57" xfId="0" applyFont="1" applyBorder="1" applyAlignment="1">
      <alignment horizontal="center" vertical="center"/>
    </xf>
    <xf numFmtId="0" fontId="95" fillId="0" borderId="31" xfId="0" applyFont="1" applyBorder="1" applyAlignment="1">
      <alignment horizontal="center" vertical="center"/>
    </xf>
    <xf numFmtId="0" fontId="95" fillId="0" borderId="29" xfId="0" applyFont="1" applyBorder="1" applyAlignment="1">
      <alignment horizontal="center"/>
    </xf>
    <xf numFmtId="0" fontId="95" fillId="0" borderId="39" xfId="0" applyFont="1" applyBorder="1" applyAlignment="1">
      <alignment horizontal="center"/>
    </xf>
    <xf numFmtId="0" fontId="95" fillId="0" borderId="40" xfId="0" applyFont="1" applyBorder="1" applyAlignment="1">
      <alignment horizontal="center"/>
    </xf>
    <xf numFmtId="0" fontId="120" fillId="0" borderId="63" xfId="0" applyFont="1" applyBorder="1" applyAlignment="1">
      <alignment horizontal="right" vertical="center" wrapText="1"/>
    </xf>
    <xf numFmtId="0" fontId="120" fillId="0" borderId="22" xfId="0" applyFont="1" applyBorder="1" applyAlignment="1">
      <alignment horizontal="right" vertical="center" wrapText="1"/>
    </xf>
    <xf numFmtId="0" fontId="28" fillId="0" borderId="56" xfId="87" applyFont="1" applyBorder="1" applyAlignment="1">
      <alignment horizontal="center"/>
    </xf>
    <xf numFmtId="0" fontId="8" fillId="57" borderId="0" xfId="0" applyFont="1" applyFill="1" applyAlignment="1">
      <alignment horizontal="center"/>
    </xf>
    <xf numFmtId="0" fontId="30" fillId="0" borderId="0" xfId="0" applyFont="1" applyAlignment="1">
      <alignment horizontal="center"/>
    </xf>
    <xf numFmtId="0" fontId="35" fillId="63" borderId="17" xfId="0" applyFont="1" applyFill="1" applyBorder="1" applyAlignment="1">
      <alignment horizontal="center" wrapText="1"/>
    </xf>
    <xf numFmtId="0" fontId="35" fillId="63" borderId="21" xfId="0" applyFont="1" applyFill="1" applyBorder="1" applyAlignment="1">
      <alignment horizontal="center" wrapText="1"/>
    </xf>
    <xf numFmtId="0" fontId="35" fillId="63" borderId="22" xfId="0" applyFont="1" applyFill="1" applyBorder="1" applyAlignment="1">
      <alignment horizontal="center" wrapText="1"/>
    </xf>
    <xf numFmtId="0" fontId="0" fillId="52" borderId="17" xfId="0" applyFill="1" applyBorder="1" applyAlignment="1">
      <alignment horizontal="left" wrapText="1"/>
    </xf>
    <xf numFmtId="0" fontId="0" fillId="52" borderId="21" xfId="0" applyFill="1" applyBorder="1" applyAlignment="1">
      <alignment horizontal="left" wrapText="1"/>
    </xf>
    <xf numFmtId="0" fontId="0" fillId="52" borderId="22" xfId="0" applyFill="1" applyBorder="1" applyAlignment="1">
      <alignment horizontal="left" wrapText="1"/>
    </xf>
    <xf numFmtId="0" fontId="0" fillId="0" borderId="17" xfId="0" applyBorder="1" applyAlignment="1">
      <alignment horizontal="center"/>
    </xf>
    <xf numFmtId="0" fontId="0" fillId="0" borderId="22" xfId="0" applyBorder="1" applyAlignment="1">
      <alignment horizontal="center"/>
    </xf>
    <xf numFmtId="0" fontId="1" fillId="0" borderId="0" xfId="0" applyFont="1" applyAlignment="1">
      <alignment horizontal="center"/>
    </xf>
    <xf numFmtId="0" fontId="0" fillId="0" borderId="0" xfId="0" applyAlignment="1">
      <alignment horizontal="center"/>
    </xf>
    <xf numFmtId="0" fontId="8" fillId="60" borderId="0" xfId="0" applyFont="1" applyFill="1" applyAlignment="1">
      <alignment horizontal="center"/>
    </xf>
    <xf numFmtId="0" fontId="69" fillId="0" borderId="16" xfId="0" applyFont="1" applyBorder="1" applyAlignment="1">
      <alignment horizontal="center"/>
    </xf>
    <xf numFmtId="0" fontId="5" fillId="58" borderId="16" xfId="0" applyFont="1" applyFill="1" applyBorder="1" applyAlignment="1">
      <alignment horizontal="center" wrapText="1"/>
    </xf>
    <xf numFmtId="0" fontId="4" fillId="0" borderId="48" xfId="0" applyFont="1" applyBorder="1" applyAlignment="1">
      <alignment horizontal="center"/>
    </xf>
    <xf numFmtId="0" fontId="4" fillId="0" borderId="61" xfId="0" applyFont="1" applyBorder="1" applyAlignment="1">
      <alignment horizontal="center"/>
    </xf>
    <xf numFmtId="0" fontId="5" fillId="56" borderId="48" xfId="0" applyFont="1" applyFill="1" applyBorder="1" applyAlignment="1">
      <alignment horizontal="center" wrapText="1"/>
    </xf>
    <xf numFmtId="0" fontId="5" fillId="56" borderId="61" xfId="0" applyFont="1" applyFill="1" applyBorder="1" applyAlignment="1">
      <alignment horizontal="center" wrapText="1"/>
    </xf>
    <xf numFmtId="0" fontId="5" fillId="58" borderId="48" xfId="0" applyFont="1" applyFill="1" applyBorder="1" applyAlignment="1">
      <alignment horizontal="center" wrapText="1"/>
    </xf>
    <xf numFmtId="0" fontId="5" fillId="58" borderId="61" xfId="0" applyFont="1" applyFill="1" applyBorder="1" applyAlignment="1">
      <alignment horizontal="center" wrapText="1"/>
    </xf>
    <xf numFmtId="165" fontId="1" fillId="53" borderId="30" xfId="0" applyNumberFormat="1" applyFont="1" applyFill="1" applyBorder="1" applyAlignment="1">
      <alignment horizontal="center"/>
    </xf>
    <xf numFmtId="165" fontId="4" fillId="53" borderId="57" xfId="0" applyNumberFormat="1" applyFont="1" applyFill="1" applyBorder="1" applyAlignment="1">
      <alignment horizontal="center"/>
    </xf>
    <xf numFmtId="165" fontId="4" fillId="53" borderId="31" xfId="0" applyNumberFormat="1" applyFont="1" applyFill="1" applyBorder="1" applyAlignment="1">
      <alignment horizontal="center"/>
    </xf>
    <xf numFmtId="0" fontId="43" fillId="0" borderId="48" xfId="0" applyFont="1" applyBorder="1" applyAlignment="1">
      <alignment horizontal="center"/>
    </xf>
    <xf numFmtId="0" fontId="43" fillId="0" borderId="61" xfId="0" applyFont="1" applyBorder="1" applyAlignment="1">
      <alignment horizontal="center"/>
    </xf>
    <xf numFmtId="0" fontId="4" fillId="53" borderId="30" xfId="0" applyFont="1" applyFill="1" applyBorder="1" applyAlignment="1">
      <alignment horizontal="center"/>
    </xf>
    <xf numFmtId="0" fontId="4" fillId="53" borderId="57" xfId="0" applyFont="1" applyFill="1" applyBorder="1" applyAlignment="1">
      <alignment horizontal="center"/>
    </xf>
    <xf numFmtId="0" fontId="4" fillId="53" borderId="31" xfId="0" applyFont="1" applyFill="1" applyBorder="1" applyAlignment="1">
      <alignment horizontal="center"/>
    </xf>
    <xf numFmtId="0" fontId="4" fillId="53" borderId="57" xfId="0" applyFont="1" applyFill="1" applyBorder="1"/>
    <xf numFmtId="0" fontId="4" fillId="53" borderId="31" xfId="0" applyFont="1" applyFill="1" applyBorder="1"/>
    <xf numFmtId="0" fontId="106" fillId="76" borderId="30" xfId="0" applyFont="1" applyFill="1" applyBorder="1" applyAlignment="1">
      <alignment horizontal="center"/>
    </xf>
    <xf numFmtId="0" fontId="106" fillId="76" borderId="57" xfId="0" applyFont="1" applyFill="1" applyBorder="1" applyAlignment="1">
      <alignment horizontal="center"/>
    </xf>
    <xf numFmtId="0" fontId="106" fillId="76" borderId="31" xfId="0" applyFont="1" applyFill="1" applyBorder="1" applyAlignment="1">
      <alignment horizontal="center"/>
    </xf>
    <xf numFmtId="0" fontId="5" fillId="56" borderId="66" xfId="0" applyFont="1" applyFill="1" applyBorder="1" applyAlignment="1">
      <alignment horizontal="center" wrapText="1"/>
    </xf>
    <xf numFmtId="0" fontId="5" fillId="58" borderId="66" xfId="0" applyFont="1" applyFill="1" applyBorder="1" applyAlignment="1">
      <alignment horizontal="center" wrapText="1"/>
    </xf>
    <xf numFmtId="0" fontId="32" fillId="0" borderId="30" xfId="0" applyFont="1" applyBorder="1" applyAlignment="1">
      <alignment horizontal="center"/>
    </xf>
    <xf numFmtId="0" fontId="32" fillId="0" borderId="57" xfId="0" applyFont="1" applyBorder="1" applyAlignment="1">
      <alignment horizontal="center"/>
    </xf>
    <xf numFmtId="0" fontId="32" fillId="0" borderId="31" xfId="0" applyFont="1" applyBorder="1" applyAlignment="1">
      <alignment horizontal="center"/>
    </xf>
    <xf numFmtId="0" fontId="5" fillId="58" borderId="24" xfId="0" applyFont="1" applyFill="1" applyBorder="1" applyAlignment="1">
      <alignment horizontal="center" wrapText="1"/>
    </xf>
    <xf numFmtId="0" fontId="5" fillId="58" borderId="25" xfId="0" applyFont="1" applyFill="1" applyBorder="1" applyAlignment="1">
      <alignment horizontal="center" wrapText="1"/>
    </xf>
    <xf numFmtId="0" fontId="4" fillId="0" borderId="66" xfId="0" applyFont="1" applyBorder="1" applyAlignment="1">
      <alignment horizontal="center"/>
    </xf>
    <xf numFmtId="0" fontId="4" fillId="53" borderId="29" xfId="0" applyFont="1" applyFill="1" applyBorder="1" applyAlignment="1">
      <alignment horizontal="center"/>
    </xf>
    <xf numFmtId="0" fontId="4" fillId="53" borderId="39" xfId="0" applyFont="1" applyFill="1" applyBorder="1" applyAlignment="1">
      <alignment horizontal="center"/>
    </xf>
    <xf numFmtId="0" fontId="4" fillId="53" borderId="40" xfId="0" applyFont="1" applyFill="1" applyBorder="1" applyAlignment="1">
      <alignment horizontal="center"/>
    </xf>
    <xf numFmtId="0" fontId="106" fillId="66" borderId="29" xfId="0" applyFont="1" applyFill="1" applyBorder="1" applyAlignment="1">
      <alignment horizontal="center"/>
    </xf>
    <xf numFmtId="0" fontId="106" fillId="66" borderId="39" xfId="0" applyFont="1" applyFill="1" applyBorder="1" applyAlignment="1">
      <alignment horizontal="center"/>
    </xf>
    <xf numFmtId="0" fontId="106" fillId="66" borderId="40" xfId="0" applyFont="1" applyFill="1" applyBorder="1" applyAlignment="1">
      <alignment horizontal="center"/>
    </xf>
    <xf numFmtId="165" fontId="4" fillId="53" borderId="30" xfId="0" applyNumberFormat="1" applyFont="1" applyFill="1" applyBorder="1" applyAlignment="1">
      <alignment horizontal="center"/>
    </xf>
    <xf numFmtId="0" fontId="43" fillId="0" borderId="66" xfId="0" applyFont="1" applyBorder="1" applyAlignment="1">
      <alignment horizontal="center"/>
    </xf>
    <xf numFmtId="0" fontId="4" fillId="0" borderId="0" xfId="0" applyFont="1"/>
    <xf numFmtId="0" fontId="4" fillId="53" borderId="48" xfId="0" applyFont="1" applyFill="1" applyBorder="1" applyAlignment="1">
      <alignment horizontal="center"/>
    </xf>
    <xf numFmtId="0" fontId="4" fillId="53" borderId="41" xfId="0" applyFont="1" applyFill="1" applyBorder="1" applyAlignment="1">
      <alignment horizontal="center"/>
    </xf>
    <xf numFmtId="0" fontId="4" fillId="53" borderId="47" xfId="0" applyFont="1" applyFill="1" applyBorder="1" applyAlignment="1">
      <alignment horizontal="center"/>
    </xf>
    <xf numFmtId="0" fontId="4" fillId="53" borderId="65" xfId="0" applyFont="1" applyFill="1" applyBorder="1" applyAlignment="1">
      <alignment horizontal="center"/>
    </xf>
    <xf numFmtId="0" fontId="4" fillId="53" borderId="58" xfId="0" applyFont="1" applyFill="1" applyBorder="1" applyAlignment="1">
      <alignment horizontal="center"/>
    </xf>
    <xf numFmtId="0" fontId="1" fillId="53" borderId="30" xfId="0" applyFont="1" applyFill="1" applyBorder="1" applyAlignment="1">
      <alignment horizontal="center"/>
    </xf>
    <xf numFmtId="0" fontId="5" fillId="0" borderId="0" xfId="0" applyFont="1" applyAlignment="1">
      <alignment horizontal="left" wrapText="1"/>
    </xf>
    <xf numFmtId="0" fontId="43" fillId="0" borderId="29" xfId="0" applyFont="1" applyBorder="1" applyAlignment="1">
      <alignment vertical="center" wrapText="1"/>
    </xf>
    <xf numFmtId="0" fontId="43" fillId="0" borderId="39" xfId="0" applyFont="1" applyBorder="1" applyAlignment="1">
      <alignment vertical="center" wrapText="1"/>
    </xf>
    <xf numFmtId="0" fontId="43" fillId="0" borderId="40" xfId="0" applyFont="1" applyBorder="1" applyAlignment="1">
      <alignment vertical="center" wrapText="1"/>
    </xf>
    <xf numFmtId="0" fontId="43" fillId="0" borderId="24" xfId="0" applyFont="1" applyBorder="1" applyAlignment="1">
      <alignment vertical="center" wrapText="1"/>
    </xf>
    <xf numFmtId="0" fontId="43" fillId="0" borderId="0" xfId="0" applyFont="1" applyAlignment="1">
      <alignment vertical="center" wrapText="1"/>
    </xf>
    <xf numFmtId="0" fontId="43" fillId="0" borderId="26" xfId="0" applyFont="1" applyBorder="1" applyAlignment="1">
      <alignment vertical="center" wrapText="1"/>
    </xf>
    <xf numFmtId="0" fontId="43" fillId="0" borderId="25" xfId="0" applyFont="1" applyBorder="1" applyAlignment="1">
      <alignment vertical="center" wrapText="1"/>
    </xf>
    <xf numFmtId="0" fontId="43" fillId="0" borderId="56" xfId="0" applyFont="1" applyBorder="1" applyAlignment="1">
      <alignment vertical="center" wrapText="1"/>
    </xf>
    <xf numFmtId="0" fontId="43" fillId="0" borderId="38" xfId="0" applyFont="1" applyBorder="1" applyAlignment="1">
      <alignment vertical="center" wrapText="1"/>
    </xf>
    <xf numFmtId="0" fontId="43" fillId="65" borderId="29" xfId="0" applyFont="1" applyFill="1" applyBorder="1" applyAlignment="1">
      <alignment vertical="top" wrapText="1"/>
    </xf>
    <xf numFmtId="0" fontId="43" fillId="65" borderId="39" xfId="0" applyFont="1" applyFill="1" applyBorder="1" applyAlignment="1">
      <alignment vertical="top" wrapText="1"/>
    </xf>
    <xf numFmtId="0" fontId="43" fillId="65" borderId="40" xfId="0" applyFont="1" applyFill="1" applyBorder="1" applyAlignment="1">
      <alignment vertical="top" wrapText="1"/>
    </xf>
    <xf numFmtId="0" fontId="43" fillId="65" borderId="24" xfId="0" applyFont="1" applyFill="1" applyBorder="1" applyAlignment="1">
      <alignment vertical="top" wrapText="1"/>
    </xf>
    <xf numFmtId="0" fontId="43" fillId="65" borderId="0" xfId="0" applyFont="1" applyFill="1" applyAlignment="1">
      <alignment vertical="top" wrapText="1"/>
    </xf>
    <xf numFmtId="0" fontId="43" fillId="65" borderId="26" xfId="0" applyFont="1" applyFill="1" applyBorder="1" applyAlignment="1">
      <alignment vertical="top" wrapText="1"/>
    </xf>
    <xf numFmtId="0" fontId="43" fillId="65" borderId="25" xfId="0" applyFont="1" applyFill="1" applyBorder="1" applyAlignment="1">
      <alignment vertical="top" wrapText="1"/>
    </xf>
    <xf numFmtId="0" fontId="43" fillId="65" borderId="56" xfId="0" applyFont="1" applyFill="1" applyBorder="1" applyAlignment="1">
      <alignment vertical="top" wrapText="1"/>
    </xf>
    <xf numFmtId="0" fontId="43" fillId="65" borderId="38" xfId="0" applyFont="1" applyFill="1" applyBorder="1" applyAlignment="1">
      <alignment vertical="top" wrapText="1"/>
    </xf>
    <xf numFmtId="0" fontId="33" fillId="56" borderId="0" xfId="0" applyFont="1" applyFill="1" applyAlignment="1">
      <alignment horizontal="left" wrapText="1"/>
    </xf>
    <xf numFmtId="0" fontId="4" fillId="56" borderId="0" xfId="0" applyFont="1" applyFill="1" applyAlignment="1">
      <alignment horizontal="left" wrapText="1"/>
    </xf>
    <xf numFmtId="0" fontId="4" fillId="52" borderId="10" xfId="0" applyFont="1" applyFill="1" applyBorder="1" applyAlignment="1">
      <alignment horizontal="left" wrapText="1"/>
    </xf>
    <xf numFmtId="0" fontId="4" fillId="52" borderId="11" xfId="0" applyFont="1" applyFill="1" applyBorder="1" applyAlignment="1">
      <alignment horizontal="left" wrapText="1"/>
    </xf>
    <xf numFmtId="0" fontId="4" fillId="52" borderId="19" xfId="0" applyFont="1" applyFill="1" applyBorder="1" applyAlignment="1">
      <alignment horizontal="left" wrapText="1"/>
    </xf>
    <xf numFmtId="0" fontId="4" fillId="52" borderId="12" xfId="0" applyFont="1" applyFill="1" applyBorder="1" applyAlignment="1">
      <alignment horizontal="left" wrapText="1"/>
    </xf>
    <xf numFmtId="0" fontId="4" fillId="52" borderId="0" xfId="0" applyFont="1" applyFill="1" applyAlignment="1">
      <alignment horizontal="left" wrapText="1"/>
    </xf>
    <xf numFmtId="0" fontId="4" fillId="52" borderId="20" xfId="0" applyFont="1" applyFill="1" applyBorder="1" applyAlignment="1">
      <alignment horizontal="left" wrapText="1"/>
    </xf>
    <xf numFmtId="0" fontId="4" fillId="52" borderId="13" xfId="0" applyFont="1" applyFill="1" applyBorder="1" applyAlignment="1">
      <alignment horizontal="left" wrapText="1"/>
    </xf>
    <xf numFmtId="0" fontId="4" fillId="52" borderId="14" xfId="0" applyFont="1" applyFill="1" applyBorder="1" applyAlignment="1">
      <alignment horizontal="left" wrapText="1"/>
    </xf>
    <xf numFmtId="0" fontId="4" fillId="52" borderId="15" xfId="0" applyFont="1" applyFill="1" applyBorder="1" applyAlignment="1">
      <alignment horizontal="left" wrapText="1"/>
    </xf>
  </cellXfs>
  <cellStyles count="101">
    <cellStyle name="20% - Accent1" xfId="1" builtinId="30" customBuiltin="1"/>
    <cellStyle name="20% - Accent1 2" xfId="2" xr:uid="{00000000-0005-0000-0000-000001000000}"/>
    <cellStyle name="20% - Accent2" xfId="3" builtinId="34" customBuiltin="1"/>
    <cellStyle name="20% - Accent2 2" xfId="4" xr:uid="{00000000-0005-0000-0000-000003000000}"/>
    <cellStyle name="20% - Accent3" xfId="5" builtinId="38" customBuiltin="1"/>
    <cellStyle name="20% - Accent3 2" xfId="6" xr:uid="{00000000-0005-0000-0000-000005000000}"/>
    <cellStyle name="20% - Accent4" xfId="7" builtinId="42" customBuiltin="1"/>
    <cellStyle name="20% - Accent4 2" xfId="8" xr:uid="{00000000-0005-0000-0000-000007000000}"/>
    <cellStyle name="20% - Accent5" xfId="9" builtinId="46" customBuiltin="1"/>
    <cellStyle name="20% - Accent5 2" xfId="10" xr:uid="{00000000-0005-0000-0000-000009000000}"/>
    <cellStyle name="20% - Accent6" xfId="11" builtinId="50" customBuiltin="1"/>
    <cellStyle name="20% - Accent6 2" xfId="12" xr:uid="{00000000-0005-0000-0000-00000B000000}"/>
    <cellStyle name="40% - Accent1" xfId="13" builtinId="31" customBuiltin="1"/>
    <cellStyle name="40% - Accent1 2" xfId="14" xr:uid="{00000000-0005-0000-0000-00000D000000}"/>
    <cellStyle name="40% - Accent2" xfId="15" builtinId="35" customBuiltin="1"/>
    <cellStyle name="40% - Accent2 2" xfId="16" xr:uid="{00000000-0005-0000-0000-00000F000000}"/>
    <cellStyle name="40% - Accent3" xfId="17" builtinId="39" customBuiltin="1"/>
    <cellStyle name="40% - Accent3 2" xfId="18" xr:uid="{00000000-0005-0000-0000-000011000000}"/>
    <cellStyle name="40% - Accent4" xfId="19" builtinId="43" customBuiltin="1"/>
    <cellStyle name="40% - Accent4 2" xfId="20" xr:uid="{00000000-0005-0000-0000-000013000000}"/>
    <cellStyle name="40% - Accent5" xfId="21" builtinId="47" customBuiltin="1"/>
    <cellStyle name="40% - Accent5 2" xfId="22" xr:uid="{00000000-0005-0000-0000-000015000000}"/>
    <cellStyle name="40% - Accent6" xfId="23" builtinId="51" customBuiltin="1"/>
    <cellStyle name="40% - Accent6 2" xfId="24" xr:uid="{00000000-0005-0000-0000-000017000000}"/>
    <cellStyle name="60% - Accent1" xfId="25" builtinId="32" customBuiltin="1"/>
    <cellStyle name="60% - Accent1 2" xfId="26" xr:uid="{00000000-0005-0000-0000-000019000000}"/>
    <cellStyle name="60% - Accent2" xfId="27" builtinId="36" customBuiltin="1"/>
    <cellStyle name="60% - Accent2 2" xfId="28" xr:uid="{00000000-0005-0000-0000-00001B000000}"/>
    <cellStyle name="60% - Accent3" xfId="29" builtinId="40" customBuiltin="1"/>
    <cellStyle name="60% - Accent3 2" xfId="30" xr:uid="{00000000-0005-0000-0000-00001D000000}"/>
    <cellStyle name="60% - Accent4" xfId="31" builtinId="44" customBuiltin="1"/>
    <cellStyle name="60% - Accent4 2" xfId="32" xr:uid="{00000000-0005-0000-0000-00001F000000}"/>
    <cellStyle name="60% - Accent5" xfId="33" builtinId="48" customBuiltin="1"/>
    <cellStyle name="60% - Accent5 2" xfId="34" xr:uid="{00000000-0005-0000-0000-000021000000}"/>
    <cellStyle name="60% - Accent6" xfId="35" builtinId="52" customBuiltin="1"/>
    <cellStyle name="60% - Accent6 2" xfId="36" xr:uid="{00000000-0005-0000-0000-000023000000}"/>
    <cellStyle name="Accent1" xfId="37" builtinId="29" customBuiltin="1"/>
    <cellStyle name="Accent1 2" xfId="38" xr:uid="{00000000-0005-0000-0000-000025000000}"/>
    <cellStyle name="Accent2" xfId="39" builtinId="33" customBuiltin="1"/>
    <cellStyle name="Accent2 2" xfId="40" xr:uid="{00000000-0005-0000-0000-000027000000}"/>
    <cellStyle name="Accent3" xfId="41" builtinId="37" customBuiltin="1"/>
    <cellStyle name="Accent3 2" xfId="42" xr:uid="{00000000-0005-0000-0000-000029000000}"/>
    <cellStyle name="Accent4" xfId="43" builtinId="41" customBuiltin="1"/>
    <cellStyle name="Accent4 2" xfId="44" xr:uid="{00000000-0005-0000-0000-00002B000000}"/>
    <cellStyle name="Accent5" xfId="45" builtinId="45" customBuiltin="1"/>
    <cellStyle name="Accent5 2" xfId="46" xr:uid="{00000000-0005-0000-0000-00002D000000}"/>
    <cellStyle name="Accent6" xfId="47" builtinId="49" customBuiltin="1"/>
    <cellStyle name="Accent6 2" xfId="48" xr:uid="{00000000-0005-0000-0000-00002F000000}"/>
    <cellStyle name="Bad" xfId="49" builtinId="27" customBuiltin="1"/>
    <cellStyle name="Bad 2" xfId="50" xr:uid="{00000000-0005-0000-0000-000031000000}"/>
    <cellStyle name="Calculation" xfId="51" builtinId="22" customBuiltin="1"/>
    <cellStyle name="Calculation 2" xfId="52" xr:uid="{00000000-0005-0000-0000-000033000000}"/>
    <cellStyle name="Check Cell" xfId="53" builtinId="23" customBuiltin="1"/>
    <cellStyle name="Check Cell 2" xfId="54" xr:uid="{00000000-0005-0000-0000-000035000000}"/>
    <cellStyle name="Comma" xfId="55" builtinId="3"/>
    <cellStyle name="Comma 2" xfId="56" xr:uid="{00000000-0005-0000-0000-000037000000}"/>
    <cellStyle name="Comma 2 2" xfId="57" xr:uid="{00000000-0005-0000-0000-000038000000}"/>
    <cellStyle name="Comma 3" xfId="58" xr:uid="{00000000-0005-0000-0000-000039000000}"/>
    <cellStyle name="Comma 3 2" xfId="59" xr:uid="{00000000-0005-0000-0000-00003A000000}"/>
    <cellStyle name="Comma 4" xfId="60" xr:uid="{00000000-0005-0000-0000-00003B000000}"/>
    <cellStyle name="Comma 5" xfId="61" xr:uid="{00000000-0005-0000-0000-00003C000000}"/>
    <cellStyle name="Comma 5 2" xfId="62" xr:uid="{00000000-0005-0000-0000-00003D000000}"/>
    <cellStyle name="Comma 6" xfId="63" xr:uid="{00000000-0005-0000-0000-00003E000000}"/>
    <cellStyle name="Explanatory Text" xfId="64" builtinId="53" customBuiltin="1"/>
    <cellStyle name="Explanatory Text 2" xfId="65" xr:uid="{00000000-0005-0000-0000-000040000000}"/>
    <cellStyle name="Good" xfId="66" builtinId="26" customBuiltin="1"/>
    <cellStyle name="Good 2" xfId="67" xr:uid="{00000000-0005-0000-0000-000042000000}"/>
    <cellStyle name="Heading 1" xfId="68" builtinId="16" customBuiltin="1"/>
    <cellStyle name="Heading 1 2" xfId="69" xr:uid="{00000000-0005-0000-0000-000044000000}"/>
    <cellStyle name="Heading 2" xfId="70" builtinId="17" customBuiltin="1"/>
    <cellStyle name="Heading 2 2" xfId="71" xr:uid="{00000000-0005-0000-0000-000046000000}"/>
    <cellStyle name="Heading 3" xfId="72" builtinId="18" customBuiltin="1"/>
    <cellStyle name="Heading 3 2" xfId="73" xr:uid="{00000000-0005-0000-0000-000048000000}"/>
    <cellStyle name="Heading 4" xfId="74" builtinId="19" customBuiltin="1"/>
    <cellStyle name="Heading 4 2" xfId="75" xr:uid="{00000000-0005-0000-0000-00004A000000}"/>
    <cellStyle name="Hyperlink" xfId="76" builtinId="8"/>
    <cellStyle name="Hyperlink 2" xfId="77" xr:uid="{00000000-0005-0000-0000-00004C000000}"/>
    <cellStyle name="Input" xfId="78" builtinId="20" customBuiltin="1"/>
    <cellStyle name="Input 2" xfId="79" xr:uid="{00000000-0005-0000-0000-00004E000000}"/>
    <cellStyle name="Linked Cell" xfId="80" builtinId="24" customBuiltin="1"/>
    <cellStyle name="Linked Cell 2" xfId="81" xr:uid="{00000000-0005-0000-0000-000050000000}"/>
    <cellStyle name="Neutral" xfId="82" builtinId="28" customBuiltin="1"/>
    <cellStyle name="Neutral 2" xfId="83" xr:uid="{00000000-0005-0000-0000-000052000000}"/>
    <cellStyle name="Normal" xfId="0" builtinId="0"/>
    <cellStyle name="Normal 2" xfId="84" xr:uid="{00000000-0005-0000-0000-000054000000}"/>
    <cellStyle name="Normal 3" xfId="85" xr:uid="{00000000-0005-0000-0000-000055000000}"/>
    <cellStyle name="Normal 4" xfId="86" xr:uid="{00000000-0005-0000-0000-000056000000}"/>
    <cellStyle name="Normal_Gen and Load Data ISO and States 2000-2009 (2)" xfId="87" xr:uid="{00000000-0005-0000-0000-000057000000}"/>
    <cellStyle name="Note" xfId="88" builtinId="10" customBuiltin="1"/>
    <cellStyle name="Note 2" xfId="89" xr:uid="{00000000-0005-0000-0000-000059000000}"/>
    <cellStyle name="Output" xfId="90" builtinId="21" customBuiltin="1"/>
    <cellStyle name="Output 2" xfId="91" xr:uid="{00000000-0005-0000-0000-00005B000000}"/>
    <cellStyle name="Percent" xfId="92" builtinId="5"/>
    <cellStyle name="Percent 2" xfId="93" xr:uid="{00000000-0005-0000-0000-00005D000000}"/>
    <cellStyle name="Percent 3" xfId="94" xr:uid="{00000000-0005-0000-0000-00005E000000}"/>
    <cellStyle name="Title" xfId="95" builtinId="15" customBuiltin="1"/>
    <cellStyle name="Title 2" xfId="96" xr:uid="{00000000-0005-0000-0000-000060000000}"/>
    <cellStyle name="Total" xfId="97" builtinId="25" customBuiltin="1"/>
    <cellStyle name="Total 2" xfId="98" xr:uid="{00000000-0005-0000-0000-000062000000}"/>
    <cellStyle name="Warning Text" xfId="99" builtinId="11" customBuiltin="1"/>
    <cellStyle name="Warning Text 2" xfId="100" xr:uid="{00000000-0005-0000-0000-000064000000}"/>
  </cellStyles>
  <dxfs count="92">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numFmt numFmtId="0" formatCode="General"/>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numFmt numFmtId="171" formatCode="0.00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numFmt numFmtId="171" formatCode="0.00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numFmt numFmtId="171" formatCode="0.00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numFmt numFmtId="171" formatCode="0.000"/>
    </dxf>
    <dxf>
      <font>
        <strike val="0"/>
        <outline val="0"/>
        <shadow val="0"/>
        <u val="none"/>
        <vertAlign val="baseline"/>
        <name val="Arial"/>
        <scheme val="none"/>
      </font>
    </dxf>
    <dxf>
      <font>
        <strike val="0"/>
        <outline val="0"/>
        <shadow val="0"/>
        <u val="none"/>
        <vertAlign val="baseline"/>
        <name val="Arial"/>
        <scheme val="none"/>
      </font>
      <numFmt numFmtId="166" formatCode="_(* #,##0_);_(* \(#,##0\);_(* &quot;-&quot;??_);_(@_)"/>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b val="0"/>
        <i val="0"/>
        <strike val="0"/>
        <condense val="0"/>
        <extend val="0"/>
        <outline val="0"/>
        <shadow val="0"/>
        <u val="none"/>
        <vertAlign val="baseline"/>
        <sz val="10"/>
        <color auto="1"/>
        <name val="Arial"/>
        <scheme val="none"/>
      </font>
      <numFmt numFmtId="166" formatCode="_(* #,##0_);_(* \(#,##0\);_(* &quot;-&quot;??_);_(@_)"/>
      <protection locked="0" hidden="0"/>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dxf>
    <dxf>
      <font>
        <strike val="0"/>
        <outline val="0"/>
        <shadow val="0"/>
        <u val="none"/>
        <vertAlign val="baseline"/>
        <name val="Arial"/>
        <scheme val="none"/>
      </font>
      <numFmt numFmtId="166" formatCode="_(* #,##0_);_(* \(#,##0\);_(* &quot;-&quot;??_);_(@_)"/>
    </dxf>
    <dxf>
      <font>
        <strike val="0"/>
        <outline val="0"/>
        <shadow val="0"/>
        <u val="none"/>
        <vertAlign val="baseline"/>
        <name val="Arial"/>
        <scheme val="none"/>
      </font>
    </dxf>
    <dxf>
      <font>
        <strike val="0"/>
        <outline val="0"/>
        <shadow val="0"/>
        <u val="none"/>
        <vertAlign val="baseline"/>
        <name val="Arial"/>
        <scheme val="none"/>
      </font>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dxf>
    <dxf>
      <font>
        <strike val="0"/>
        <outline val="0"/>
        <shadow val="0"/>
        <u val="none"/>
        <vertAlign val="baseline"/>
        <name val="Arial"/>
        <scheme val="none"/>
      </font>
    </dxf>
    <dxf>
      <font>
        <b val="0"/>
        <i val="0"/>
        <strike val="0"/>
        <condense val="0"/>
        <extend val="0"/>
        <outline val="0"/>
        <shadow val="0"/>
        <u val="none"/>
        <vertAlign val="baseline"/>
        <sz val="10"/>
        <color auto="1"/>
        <name val="Arial"/>
        <scheme val="none"/>
      </font>
      <alignment horizontal="general" vertical="bottom" textRotation="0" wrapText="1" indent="0" justifyLastLine="0" shrinkToFit="0" readingOrder="0"/>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71" formatCode="0.000"/>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numFmt numFmtId="166" formatCode="_(* #,##0_);_(* \(#,##0\);_(* &quot;-&quot;??_);_(@_)"/>
      <protection locked="0" hidden="0"/>
    </dxf>
    <dxf>
      <font>
        <strike val="0"/>
        <outline val="0"/>
        <shadow val="0"/>
        <u val="none"/>
        <vertAlign val="baseline"/>
        <name val="Arial"/>
        <scheme val="none"/>
      </font>
      <protection locked="0" hidden="0"/>
    </dxf>
    <dxf>
      <font>
        <b val="0"/>
        <i val="0"/>
        <strike val="0"/>
        <condense val="0"/>
        <extend val="0"/>
        <outline val="0"/>
        <shadow val="0"/>
        <u val="none"/>
        <vertAlign val="baseline"/>
        <sz val="9"/>
        <color auto="1"/>
        <name val="Arial"/>
        <scheme val="none"/>
      </font>
      <fill>
        <patternFill patternType="none">
          <fgColor indexed="64"/>
          <bgColor indexed="65"/>
        </patternFill>
      </fill>
      <alignment horizontal="left" vertical="bottom" textRotation="0" wrapText="0" indent="0" justifyLastLine="0" shrinkToFit="0" readingOrder="0"/>
      <protection locked="0" hidden="0"/>
    </dxf>
    <dxf>
      <font>
        <strike val="0"/>
        <outline val="0"/>
        <shadow val="0"/>
        <u val="none"/>
        <vertAlign val="baseline"/>
        <name val="Arial"/>
        <scheme val="none"/>
      </font>
      <protection locked="0" hidden="0"/>
    </dxf>
    <dxf>
      <font>
        <b val="0"/>
        <i val="0"/>
        <strike val="0"/>
        <condense val="0"/>
        <extend val="0"/>
        <outline val="0"/>
        <shadow val="0"/>
        <u val="none"/>
        <vertAlign val="baseline"/>
        <sz val="10"/>
        <color auto="1"/>
        <name val="Arial"/>
        <scheme val="none"/>
      </font>
      <protection locked="0" hidden="0"/>
    </dxf>
    <dxf>
      <font>
        <b/>
        <i val="0"/>
      </font>
      <fill>
        <patternFill>
          <bgColor rgb="FFD7D7D7"/>
        </patternFill>
      </fill>
    </dxf>
    <dxf>
      <font>
        <b val="0"/>
        <i val="0"/>
      </font>
      <fill>
        <patternFill patternType="none">
          <bgColor indexed="65"/>
        </patternFill>
      </fill>
    </dxf>
  </dxfs>
  <tableStyles count="1" defaultTableStyle="TableStyleMedium9" defaultPivotStyle="PivotStyleLight16">
    <tableStyle name="MySqlDefault" pivot="0" table="0" count="2" xr9:uid="{00000000-0011-0000-FFFF-FFFF00000000}">
      <tableStyleElement type="wholeTable" dxfId="91"/>
      <tableStyleElement type="headerRow" dxfId="90"/>
    </tableStyle>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12</xdr:col>
      <xdr:colOff>990600</xdr:colOff>
      <xdr:row>93</xdr:row>
      <xdr:rowOff>69850</xdr:rowOff>
    </xdr:from>
    <xdr:to>
      <xdr:col>22</xdr:col>
      <xdr:colOff>533400</xdr:colOff>
      <xdr:row>130</xdr:row>
      <xdr:rowOff>114300</xdr:rowOff>
    </xdr:to>
    <xdr:pic>
      <xdr:nvPicPr>
        <xdr:cNvPr id="28760" name="Picture 2">
          <a:extLst>
            <a:ext uri="{FF2B5EF4-FFF2-40B4-BE49-F238E27FC236}">
              <a16:creationId xmlns:a16="http://schemas.microsoft.com/office/drawing/2014/main" id="{5A790EA8-4DB3-4202-90F0-D7E93D8E90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29150" y="16713200"/>
          <a:ext cx="7816850" cy="904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1016000</xdr:colOff>
      <xdr:row>137</xdr:row>
      <xdr:rowOff>127000</xdr:rowOff>
    </xdr:from>
    <xdr:to>
      <xdr:col>22</xdr:col>
      <xdr:colOff>615950</xdr:colOff>
      <xdr:row>170</xdr:row>
      <xdr:rowOff>82550</xdr:rowOff>
    </xdr:to>
    <xdr:pic>
      <xdr:nvPicPr>
        <xdr:cNvPr id="28761" name="Picture 1">
          <a:extLst>
            <a:ext uri="{FF2B5EF4-FFF2-40B4-BE49-F238E27FC236}">
              <a16:creationId xmlns:a16="http://schemas.microsoft.com/office/drawing/2014/main" id="{5A50BF62-D199-4733-B84A-3522DA858A8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354550" y="27495500"/>
          <a:ext cx="7874000" cy="5822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ueannrichardson/Downloads/2008%20GHGINVIMP%20as%20AP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923 Generation and Fuel Da"/>
      <sheetName val="EPA Part 75 data"/>
      <sheetName val="Electric Power Annual Table A3"/>
      <sheetName val="IPCC Guidelines Table 2.2"/>
      <sheetName val="Calculating CO2e"/>
      <sheetName val="rps transfers"/>
      <sheetName val="rps - Calculating CO2e"/>
      <sheetName val="ISO load-generation-imports"/>
      <sheetName val="Imported Emissions"/>
      <sheetName val="GWPs"/>
    </sheetNames>
    <sheetDataSet>
      <sheetData sheetId="0"/>
      <sheetData sheetId="1"/>
      <sheetData sheetId="2"/>
      <sheetData sheetId="3"/>
      <sheetData sheetId="4"/>
      <sheetData sheetId="5"/>
      <sheetData sheetId="6"/>
      <sheetData sheetId="7"/>
      <sheetData sheetId="8"/>
      <sheetData sheetId="9">
        <row r="11">
          <cell r="B11" t="str">
            <v>SAR</v>
          </cell>
        </row>
        <row r="12">
          <cell r="B12" t="str">
            <v>AR4</v>
          </cell>
        </row>
        <row r="13">
          <cell r="B13" t="str">
            <v>AR5</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A14:H23" totalsRowShown="0" headerRowDxfId="89" dataDxfId="88">
  <tableColumns count="8">
    <tableColumn id="1" xr3:uid="{00000000-0010-0000-0000-000001000000}" name="Fuel Types " dataDxfId="87"/>
    <tableColumn id="2" xr3:uid="{00000000-0010-0000-0000-000002000000}" name="Into State - MSS Meter (MMBtu)" dataDxfId="86"/>
    <tableColumn id="3" xr3:uid="{00000000-0010-0000-0000-000003000000}" name="Into State - IMP Meter (MMBtu)2" dataDxfId="85"/>
    <tableColumn id="4" xr3:uid="{00000000-0010-0000-0000-000004000000}" name="Into State - NON Meter (MMBtu)" dataDxfId="84" dataCellStyle="Comma"/>
    <tableColumn id="5" xr3:uid="{00000000-0010-0000-0000-000005000000}" name="Out of State -_x000a_MSS Meter _x000a_(MMBtu)" dataDxfId="83" dataCellStyle="Comma"/>
    <tableColumn id="6" xr3:uid="{00000000-0010-0000-0000-000006000000}" name="*EPA GHGRP trash split" dataDxfId="82" dataCellStyle="Comma"/>
    <tableColumn id="7" xr3:uid="{00000000-0010-0000-0000-000007000000}" name="  -" dataDxfId="81" dataCellStyle="Comma"/>
    <tableColumn id="9" xr3:uid="{00000000-0010-0000-0000-000009000000}" name="Net Heat Input from all GIS certificates (MMBtu)" dataDxfId="80" dataCellStyle="Comma"/>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3" displayName="Table3" ref="A26:H35" totalsRowShown="0" headerRowDxfId="79" dataDxfId="78">
  <autoFilter ref="A26:H35" xr:uid="{00000000-0009-0000-0100-000002000000}"/>
  <tableColumns count="8">
    <tableColumn id="1" xr3:uid="{00000000-0010-0000-0100-000001000000}" name="Fuel Types " dataDxfId="77"/>
    <tableColumn id="2" xr3:uid="{00000000-0010-0000-0100-000002000000}" name="Into State - MSS Meter (MMBtu)" dataDxfId="76"/>
    <tableColumn id="3" xr3:uid="{00000000-0010-0000-0100-000003000000}" name="Into State - IMP Meter (MMBtu)2" dataDxfId="75"/>
    <tableColumn id="4" xr3:uid="{00000000-0010-0000-0100-000004000000}" name="Into State - NON Meter (MMBtu)" dataDxfId="74"/>
    <tableColumn id="5" xr3:uid="{00000000-0010-0000-0100-000005000000}" name="Out of State -_x000a_MSS Meter _x000a_(MMBtu)" dataDxfId="73"/>
    <tableColumn id="6" xr3:uid="{00000000-0010-0000-0100-000006000000}" name="*EPA GHGRP trash split" dataDxfId="72"/>
    <tableColumn id="7" xr3:uid="{00000000-0010-0000-0100-000007000000}" name="  -" dataDxfId="71"/>
    <tableColumn id="8" xr3:uid="{00000000-0010-0000-0100-000008000000}" name="Net Heat Input from all GIS certificates (MMBtu)" dataDxfId="70" dataCellStyle="Comma"/>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4" displayName="Table4" ref="A38:H47" totalsRowShown="0" headerRowDxfId="69" dataDxfId="68">
  <autoFilter ref="A38:H47" xr:uid="{00000000-0009-0000-0100-000003000000}"/>
  <tableColumns count="8">
    <tableColumn id="1" xr3:uid="{00000000-0010-0000-0200-000001000000}" name="Fuel Types " dataDxfId="67"/>
    <tableColumn id="2" xr3:uid="{00000000-0010-0000-0200-000002000000}" name="Into State - MSS Meter (MMBtu)" dataDxfId="66"/>
    <tableColumn id="3" xr3:uid="{00000000-0010-0000-0200-000003000000}" name="Into State - IMP Meter (MMBtu)2" dataDxfId="65"/>
    <tableColumn id="4" xr3:uid="{00000000-0010-0000-0200-000004000000}" name="Into State - NON Meter (MMBtu)" dataDxfId="64"/>
    <tableColumn id="5" xr3:uid="{00000000-0010-0000-0200-000005000000}" name="Out of State -_x000a_MSS Meter _x000a_(MMBtu)" dataDxfId="63"/>
    <tableColumn id="6" xr3:uid="{00000000-0010-0000-0200-000006000000}" name="*Form 923 trash split" dataDxfId="62"/>
    <tableColumn id="7" xr3:uid="{00000000-0010-0000-0200-000007000000}" name="  -" dataDxfId="61"/>
    <tableColumn id="8" xr3:uid="{00000000-0010-0000-0200-000008000000}" name="Net Heat Input from all GIS certificates (MMBtu)" dataDxfId="60" dataCellStyle="Comma"/>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5" displayName="Table5" ref="A50:H59" totalsRowShown="0" headerRowDxfId="59" dataDxfId="58">
  <autoFilter ref="A50:H59" xr:uid="{00000000-0009-0000-0100-000004000000}"/>
  <tableColumns count="8">
    <tableColumn id="1" xr3:uid="{00000000-0010-0000-0300-000001000000}" name="Fuel Types " dataDxfId="57"/>
    <tableColumn id="2" xr3:uid="{00000000-0010-0000-0300-000002000000}" name="Into State - MSS Meter (MMBtu)" dataDxfId="56" dataCellStyle="Comma"/>
    <tableColumn id="3" xr3:uid="{00000000-0010-0000-0300-000003000000}" name="Into State - IMP Meter (MMBtu)2" dataDxfId="55" dataCellStyle="Comma"/>
    <tableColumn id="4" xr3:uid="{00000000-0010-0000-0300-000004000000}" name="Into State - NON Meter (MMBtu)" dataDxfId="54" dataCellStyle="Comma"/>
    <tableColumn id="5" xr3:uid="{00000000-0010-0000-0300-000005000000}" name="Out of State -_x000a_MSS Meter _x000a_(MMBtu)" dataDxfId="53" dataCellStyle="Comma"/>
    <tableColumn id="6" xr3:uid="{00000000-0010-0000-0300-000006000000}" name="*Form 923 trash split" dataDxfId="52"/>
    <tableColumn id="7" xr3:uid="{00000000-0010-0000-0300-000007000000}" name="  -" dataDxfId="51" dataCellStyle="Comma"/>
    <tableColumn id="8" xr3:uid="{00000000-0010-0000-0300-000008000000}" name="Net Heat Input from all GIS certificates (MMBtu)" dataDxfId="50" dataCellStyle="Comma"/>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6" displayName="Table6" ref="A62:H71" totalsRowShown="0" headerRowDxfId="49" dataDxfId="48">
  <autoFilter ref="A62:H71" xr:uid="{00000000-0009-0000-0100-000005000000}"/>
  <tableColumns count="8">
    <tableColumn id="1" xr3:uid="{00000000-0010-0000-0400-000001000000}" name="Fuel Types " dataDxfId="47"/>
    <tableColumn id="2" xr3:uid="{00000000-0010-0000-0400-000002000000}" name="Into State - MSS Meter (MMBtu)" dataDxfId="46" dataCellStyle="Comma"/>
    <tableColumn id="3" xr3:uid="{00000000-0010-0000-0400-000003000000}" name="Into State - IMP Meter (MMBtu)2" dataDxfId="45" dataCellStyle="Comma"/>
    <tableColumn id="4" xr3:uid="{00000000-0010-0000-0400-000004000000}" name="Into State - NON Meter (MMBtu)" dataDxfId="44" dataCellStyle="Comma"/>
    <tableColumn id="5" xr3:uid="{00000000-0010-0000-0400-000005000000}" name="Out of State -_x000a_MSS Meter _x000a_(MMBtu)" dataDxfId="43" dataCellStyle="Comma"/>
    <tableColumn id="6" xr3:uid="{00000000-0010-0000-0400-000006000000}" name="*Form 923 trash split" dataDxfId="42"/>
    <tableColumn id="7" xr3:uid="{00000000-0010-0000-0400-000007000000}" name="  -" dataDxfId="41" dataCellStyle="Comma"/>
    <tableColumn id="8" xr3:uid="{00000000-0010-0000-0400-000008000000}" name="Net Heat Input from all GIS certificates (MMBtu)" dataDxfId="40" dataCellStyle="Comma"/>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7" displayName="Table7" ref="A74:H83" totalsRowShown="0" headerRowDxfId="39" dataDxfId="38">
  <autoFilter ref="A74:H83" xr:uid="{00000000-0009-0000-0100-000006000000}"/>
  <tableColumns count="8">
    <tableColumn id="1" xr3:uid="{00000000-0010-0000-0500-000001000000}" name="Fuel Types " dataDxfId="37"/>
    <tableColumn id="2" xr3:uid="{00000000-0010-0000-0500-000002000000}" name="Into State - MSS Meter (MMBtu)" dataDxfId="36" dataCellStyle="Comma"/>
    <tableColumn id="3" xr3:uid="{00000000-0010-0000-0500-000003000000}" name="Into State - IMP Meter (MMBtu)2" dataDxfId="35" dataCellStyle="Comma"/>
    <tableColumn id="4" xr3:uid="{00000000-0010-0000-0500-000004000000}" name="Into State - NON Meter (MMBtu)" dataDxfId="34" dataCellStyle="Comma"/>
    <tableColumn id="5" xr3:uid="{00000000-0010-0000-0500-000005000000}" name="Out of State -_x000a_MSS Meter _x000a_(MMBtu)" dataDxfId="33" dataCellStyle="Comma"/>
    <tableColumn id="6" xr3:uid="{00000000-0010-0000-0500-000006000000}" name="*Form 923 trash split" dataDxfId="32"/>
    <tableColumn id="7" xr3:uid="{00000000-0010-0000-0500-000007000000}" name="  -" dataDxfId="31" dataCellStyle="Comma"/>
    <tableColumn id="8" xr3:uid="{00000000-0010-0000-0500-000008000000}" name="Net Heat Input from all GIS certificates (MMBtu)" dataDxfId="30" dataCellStyle="Comma"/>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9" displayName="Table9" ref="A86:H95" totalsRowShown="0" headerRowDxfId="29" dataDxfId="28">
  <autoFilter ref="A86:H95" xr:uid="{00000000-0009-0000-0100-000007000000}"/>
  <tableColumns count="8">
    <tableColumn id="1" xr3:uid="{00000000-0010-0000-0600-000001000000}" name="Fuel Types " dataDxfId="27"/>
    <tableColumn id="2" xr3:uid="{00000000-0010-0000-0600-000002000000}" name=" - " dataDxfId="26"/>
    <tableColumn id="3" xr3:uid="{00000000-0010-0000-0600-000003000000}" name="  - " dataDxfId="25"/>
    <tableColumn id="4" xr3:uid="{00000000-0010-0000-0600-000004000000}" name="-" dataDxfId="24"/>
    <tableColumn id="5" xr3:uid="{00000000-0010-0000-0600-000005000000}" name="Out of State -_x000a_IMP Meter _x000a_(MMBtu)" dataDxfId="23" dataCellStyle="Comma"/>
    <tableColumn id="6" xr3:uid="{00000000-0010-0000-0600-000006000000}" name="*Form 923 trash split" dataDxfId="22"/>
    <tableColumn id="7" xr3:uid="{00000000-0010-0000-0600-000007000000}" name="  -" dataDxfId="21"/>
    <tableColumn id="8" xr3:uid="{00000000-0010-0000-0600-000008000000}" name="Net Heat Input from all GIS certificates (MMBtu)" dataDxfId="20" dataCellStyle="Comma"/>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10" displayName="Table10" ref="A98:H107" totalsRowShown="0" headerRowDxfId="19" dataDxfId="18">
  <autoFilter ref="A98:H107" xr:uid="{00000000-0009-0000-0100-000008000000}"/>
  <tableColumns count="8">
    <tableColumn id="1" xr3:uid="{00000000-0010-0000-0700-000001000000}" name="Fuel Types " dataDxfId="17"/>
    <tableColumn id="2" xr3:uid="{00000000-0010-0000-0700-000002000000}" name=" - " dataDxfId="16"/>
    <tableColumn id="3" xr3:uid="{00000000-0010-0000-0700-000003000000}" name="  - " dataDxfId="15"/>
    <tableColumn id="4" xr3:uid="{00000000-0010-0000-0700-000004000000}" name="-" dataDxfId="14"/>
    <tableColumn id="5" xr3:uid="{00000000-0010-0000-0700-000005000000}" name="Out of Province_x000a_IMP Meter _x000a_(MMBtu)" dataDxfId="13"/>
    <tableColumn id="6" xr3:uid="{00000000-0010-0000-0700-000006000000}" name="*Form 923 trash split" dataDxfId="12"/>
    <tableColumn id="7" xr3:uid="{00000000-0010-0000-0700-000007000000}" name="  -" dataDxfId="11"/>
    <tableColumn id="8" xr3:uid="{00000000-0010-0000-0700-000008000000}" name="Net Heat Input from all GIS certificates (MMBtu)" dataDxfId="10" dataCellStyle="Comma"/>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Table29" displayName="Table29" ref="A110:H119" totalsRowShown="0" headerRowDxfId="9" dataDxfId="8">
  <autoFilter ref="A110:H119" xr:uid="{00000000-0009-0000-0100-000009000000}"/>
  <tableColumns count="8">
    <tableColumn id="1" xr3:uid="{00000000-0010-0000-0800-000001000000}" name="Fuel Types " dataDxfId="7"/>
    <tableColumn id="2" xr3:uid="{00000000-0010-0000-0800-000002000000}" name=" - " dataDxfId="6"/>
    <tableColumn id="3" xr3:uid="{00000000-0010-0000-0800-000003000000}" name="  - " dataDxfId="5"/>
    <tableColumn id="4" xr3:uid="{00000000-0010-0000-0800-000004000000}" name="-" dataDxfId="4"/>
    <tableColumn id="5" xr3:uid="{00000000-0010-0000-0800-000005000000}" name="Out of Province_x000a_IMP Meter _x000a_(MMBtu)" dataDxfId="3"/>
    <tableColumn id="6" xr3:uid="{00000000-0010-0000-0800-000006000000}" name="*Form 923 trash split" dataDxfId="2"/>
    <tableColumn id="7" xr3:uid="{00000000-0010-0000-0800-000007000000}" name="  -" dataDxfId="1"/>
    <tableColumn id="8" xr3:uid="{00000000-0010-0000-0800-000008000000}" name="Net Heat Input from all GIS certificates (MMBtu)" dataDxfId="0" dataCellStyle="Comma"/>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omments" Target="../comments5.xml"/><Relationship Id="rId3" Type="http://schemas.openxmlformats.org/officeDocument/2006/relationships/hyperlink" Target="http://www.gpo.gov/fdsys/pkg/CFR-2014-title40-vol21/pdf/CFR-2014-title40-vol21-part98-subpartC-appC.pdf" TargetMode="External"/><Relationship Id="rId7" Type="http://schemas.openxmlformats.org/officeDocument/2006/relationships/vmlDrawing" Target="../drawings/vmlDrawing5.vml"/><Relationship Id="rId2" Type="http://schemas.openxmlformats.org/officeDocument/2006/relationships/hyperlink" Target="http://www.gpo.gov/fdsys/pkg/CFR-2014-title40-vol21/pdf/CFR-2014-title40-vol21-part98-subpartC-appC-id656.pdf" TargetMode="External"/><Relationship Id="rId1" Type="http://schemas.openxmlformats.org/officeDocument/2006/relationships/hyperlink" Target="http://www.ipcc-nggip.iges.or.jp/public/2006gl/pdf/2_Volume2/V2_2_Ch2_Stationary_Combustion.pdf" TargetMode="External"/><Relationship Id="rId6" Type="http://schemas.openxmlformats.org/officeDocument/2006/relationships/drawing" Target="../drawings/drawing1.xml"/><Relationship Id="rId5" Type="http://schemas.openxmlformats.org/officeDocument/2006/relationships/hyperlink" Target="https://www.epa.gov/sites/production/files/2015-07/documents/catalog_of_chp_technologies_section_6._technology_characterization_-_fuel_cells.pdf" TargetMode="External"/><Relationship Id="rId4" Type="http://schemas.openxmlformats.org/officeDocument/2006/relationships/hyperlink" Target="http://www.eia.gov/electricity/annua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iso-ne.com/isoexpress/web/reports/load-and-demand/-/tree/net-ener-peak-load" TargetMode="External"/><Relationship Id="rId7" Type="http://schemas.openxmlformats.org/officeDocument/2006/relationships/printerSettings" Target="../printerSettings/printerSettings3.bin"/><Relationship Id="rId2" Type="http://schemas.openxmlformats.org/officeDocument/2006/relationships/hyperlink" Target="https://www.iso-ne.com/search?query=2019%20generation%20and%20load%20by%20state" TargetMode="External"/><Relationship Id="rId1" Type="http://schemas.openxmlformats.org/officeDocument/2006/relationships/hyperlink" Target="https://www150.statcan.gc.ca/t1/tbl1/en/tv.action?pid=2510002001&amp;pickMembers%5B0%5D=1.1&amp;pickMembers%5B1%5D=3.1" TargetMode="External"/><Relationship Id="rId6" Type="http://schemas.openxmlformats.org/officeDocument/2006/relationships/hyperlink" Target="https://www.iso-ne.com/isoexpress/web/reports/load-and-demand/-/tree/net-ener-peak-load" TargetMode="External"/><Relationship Id="rId5" Type="http://schemas.openxmlformats.org/officeDocument/2006/relationships/hyperlink" Target="https://www.iso-ne.com/search?query=energy%20peak%20by%20source" TargetMode="External"/><Relationship Id="rId4" Type="http://schemas.openxmlformats.org/officeDocument/2006/relationships/hyperlink" Target="https://www.iso-ne.com/search?query=2019%20generation%20and%20load%20by%20state" TargetMode="External"/><Relationship Id="rId9"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ia.gov/electricity/data/eia923/"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campd.epa.gov/" TargetMode="External"/><Relationship Id="rId1" Type="http://schemas.openxmlformats.org/officeDocument/2006/relationships/hyperlink" Target="https://www.epa.gov/ghgreporting" TargetMode="External"/></Relationships>
</file>

<file path=xl/worksheets/_rels/sheet8.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 Id="rId9" Type="http://schemas.openxmlformats.org/officeDocument/2006/relationships/table" Target="../tables/table9.x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pageSetUpPr fitToPage="1"/>
  </sheetPr>
  <dimension ref="A1:DS59"/>
  <sheetViews>
    <sheetView tabSelected="1" zoomScaleNormal="100" workbookViewId="0"/>
  </sheetViews>
  <sheetFormatPr defaultColWidth="9.1796875" defaultRowHeight="13"/>
  <cols>
    <col min="1" max="1" width="3.453125" style="92" customWidth="1"/>
    <col min="2" max="2" width="4.54296875" style="92" customWidth="1"/>
    <col min="3" max="3" width="8.1796875" style="92" customWidth="1"/>
    <col min="4" max="4" width="17.81640625" style="92" customWidth="1"/>
    <col min="5" max="5" width="17" style="92" customWidth="1"/>
    <col min="6" max="6" width="16.81640625" style="92" customWidth="1"/>
    <col min="7" max="7" width="19.453125" style="92" customWidth="1"/>
    <col min="8" max="8" width="18.453125" style="92" customWidth="1"/>
    <col min="9" max="9" width="19" style="92" customWidth="1"/>
    <col min="10" max="10" width="17.54296875" style="92" customWidth="1"/>
    <col min="11" max="11" width="16.54296875" style="92" customWidth="1"/>
    <col min="12" max="12" width="14.81640625" style="92" customWidth="1"/>
    <col min="13" max="13" width="13" style="92" customWidth="1"/>
    <col min="14" max="14" width="20.453125" style="92" customWidth="1"/>
    <col min="15" max="15" width="19.1796875" style="92" customWidth="1"/>
    <col min="16" max="16" width="22" style="92" customWidth="1"/>
    <col min="17" max="17" width="19.453125" style="92" customWidth="1"/>
    <col min="18" max="18" width="19.1796875" style="92" customWidth="1"/>
    <col min="19" max="19" width="17.81640625" style="92" customWidth="1"/>
    <col min="20" max="20" width="18.453125" style="92" customWidth="1"/>
    <col min="21" max="21" width="16.453125" style="92" customWidth="1"/>
    <col min="22" max="22" width="18.453125" style="92" customWidth="1"/>
    <col min="23" max="23" width="15.453125" style="92" customWidth="1"/>
    <col min="24" max="24" width="13.453125" style="92" customWidth="1"/>
    <col min="25" max="25" width="15.453125" style="92" customWidth="1"/>
    <col min="26" max="26" width="12" style="92" customWidth="1"/>
    <col min="27" max="27" width="15" style="92" customWidth="1"/>
    <col min="28" max="28" width="14.453125" style="92" customWidth="1"/>
    <col min="29" max="29" width="13.453125" style="92" customWidth="1"/>
    <col min="30" max="30" width="12" style="92" customWidth="1"/>
    <col min="31" max="31" width="9" style="92" customWidth="1"/>
    <col min="32" max="32" width="12.453125" style="92" customWidth="1"/>
    <col min="33" max="33" width="12.81640625" style="92" customWidth="1"/>
    <col min="34" max="34" width="15" style="92" customWidth="1"/>
    <col min="35" max="35" width="12.54296875" style="92" customWidth="1"/>
    <col min="36" max="36" width="16.81640625" style="92" customWidth="1"/>
    <col min="37" max="37" width="14.453125" style="92" customWidth="1"/>
    <col min="38" max="38" width="17.1796875" style="92" customWidth="1"/>
    <col min="39" max="39" width="14.453125" style="92" customWidth="1"/>
    <col min="40" max="40" width="7.1796875" style="92" customWidth="1"/>
    <col min="41" max="41" width="13.453125" style="92" customWidth="1"/>
    <col min="42" max="42" width="11.81640625" style="92" customWidth="1"/>
    <col min="43" max="43" width="14" style="92" customWidth="1"/>
    <col min="44" max="44" width="12.81640625" style="92" customWidth="1"/>
    <col min="45" max="45" width="10.453125" style="92" customWidth="1"/>
    <col min="46" max="46" width="12.54296875" style="92" customWidth="1"/>
    <col min="47" max="47" width="12.453125" style="92" customWidth="1"/>
    <col min="48" max="48" width="12.81640625" style="92" customWidth="1"/>
    <col min="49" max="49" width="9" style="92" customWidth="1"/>
    <col min="50" max="50" width="13.1796875" style="92" customWidth="1"/>
    <col min="51" max="51" width="12.453125" style="92" customWidth="1"/>
    <col min="52" max="52" width="12.1796875" style="92" customWidth="1"/>
    <col min="53" max="53" width="11" style="92" customWidth="1"/>
    <col min="54" max="54" width="10.1796875" style="92" customWidth="1"/>
    <col min="55" max="55" width="15.453125" style="92" customWidth="1"/>
    <col min="56" max="56" width="14.453125" style="92" customWidth="1"/>
    <col min="57" max="57" width="13.453125" style="92" customWidth="1"/>
    <col min="58" max="58" width="7.81640625" style="92" customWidth="1"/>
    <col min="59" max="59" width="10.54296875" style="92" customWidth="1"/>
    <col min="60" max="60" width="9.81640625" style="92" bestFit="1" customWidth="1"/>
    <col min="61" max="63" width="9.81640625" style="92" customWidth="1"/>
    <col min="64" max="64" width="14.1796875" style="92" customWidth="1"/>
    <col min="65" max="65" width="14.453125" style="92" customWidth="1"/>
    <col min="66" max="66" width="11.54296875" style="92" customWidth="1"/>
    <col min="67" max="67" width="8.1796875" style="92" customWidth="1"/>
    <col min="68" max="68" width="5.54296875" style="92" customWidth="1"/>
    <col min="69" max="69" width="6.81640625" style="92" customWidth="1"/>
    <col min="70" max="70" width="12" style="92" customWidth="1"/>
    <col min="71" max="71" width="13.54296875" style="92" customWidth="1"/>
    <col min="72" max="72" width="11.453125" style="92" customWidth="1"/>
    <col min="73" max="73" width="10.54296875" style="92" customWidth="1"/>
    <col min="74" max="74" width="15" style="92" customWidth="1"/>
    <col min="75" max="75" width="13.81640625" style="92" customWidth="1"/>
    <col min="76" max="76" width="13.453125" style="92" customWidth="1"/>
    <col min="77" max="77" width="7.54296875" style="92" customWidth="1"/>
    <col min="78" max="78" width="14.81640625" style="92" customWidth="1"/>
    <col min="79" max="79" width="15.1796875" style="92" customWidth="1"/>
    <col min="80" max="80" width="12" style="92" customWidth="1"/>
    <col min="81" max="81" width="16" style="92" customWidth="1"/>
    <col min="82" max="82" width="15.453125" style="92" customWidth="1"/>
    <col min="83" max="83" width="7.453125" style="92" customWidth="1"/>
    <col min="84" max="84" width="15" style="92" customWidth="1"/>
    <col min="85" max="85" width="12.453125" style="92" customWidth="1"/>
    <col min="86" max="87" width="12.81640625" style="92" customWidth="1"/>
    <col min="88" max="88" width="14.453125" style="92" customWidth="1"/>
    <col min="89" max="89" width="6.81640625" style="92" customWidth="1"/>
    <col min="90" max="90" width="5.54296875" style="92" customWidth="1"/>
    <col min="91" max="91" width="8.54296875" style="92" customWidth="1"/>
    <col min="92" max="92" width="15.453125" style="92" customWidth="1"/>
    <col min="93" max="95" width="14.1796875" style="92" customWidth="1"/>
    <col min="96" max="96" width="12.1796875" style="92" customWidth="1"/>
    <col min="97" max="97" width="16.1796875" style="92" customWidth="1"/>
    <col min="98" max="98" width="18.453125" style="92" customWidth="1"/>
    <col min="99" max="99" width="21.1796875" style="92" customWidth="1"/>
    <col min="100" max="100" width="6.1796875" style="92" customWidth="1"/>
    <col min="101" max="101" width="10.453125" style="92" customWidth="1"/>
    <col min="102" max="102" width="10" style="92" customWidth="1"/>
    <col min="103" max="103" width="11" style="92" bestFit="1" customWidth="1"/>
    <col min="104" max="104" width="9.1796875" style="92"/>
    <col min="105" max="105" width="12.453125" style="92" customWidth="1"/>
    <col min="106" max="106" width="11.1796875" style="92" bestFit="1" customWidth="1"/>
    <col min="107" max="107" width="8.1796875" style="92" customWidth="1"/>
    <col min="108" max="108" width="13.81640625" style="92" customWidth="1"/>
    <col min="109" max="16384" width="9.1796875" style="92"/>
  </cols>
  <sheetData>
    <row r="1" spans="3:90" ht="16.5" customHeight="1" thickBot="1">
      <c r="G1" s="253"/>
      <c r="H1" s="253"/>
      <c r="I1" s="254"/>
      <c r="J1" s="254"/>
      <c r="K1" s="254"/>
      <c r="Q1" s="255"/>
      <c r="AA1" s="253"/>
      <c r="AG1" s="255"/>
      <c r="AX1" s="253"/>
      <c r="AY1" s="253"/>
      <c r="AZ1" s="253"/>
      <c r="BD1" s="255"/>
      <c r="BQ1" s="253"/>
      <c r="BR1" s="253"/>
      <c r="BS1" s="253"/>
    </row>
    <row r="2" spans="3:90" ht="15.75" customHeight="1">
      <c r="C2" s="760" t="s">
        <v>3691</v>
      </c>
      <c r="D2" s="761"/>
      <c r="E2" s="761"/>
      <c r="F2" s="761"/>
      <c r="G2" s="761"/>
      <c r="H2" s="762"/>
      <c r="I2" s="596"/>
      <c r="J2" s="596"/>
      <c r="K2" s="596"/>
      <c r="L2" s="596"/>
      <c r="M2" s="596"/>
      <c r="Q2" s="255"/>
      <c r="AG2" s="255"/>
      <c r="AX2" s="253"/>
      <c r="AY2" s="253"/>
      <c r="AZ2" s="253"/>
      <c r="BD2" s="255"/>
      <c r="BQ2" s="253"/>
      <c r="BR2" s="253"/>
      <c r="BS2" s="253"/>
      <c r="BZ2" s="256"/>
      <c r="CA2" s="256"/>
      <c r="CB2" s="256"/>
      <c r="CC2" s="256"/>
      <c r="CD2" s="256"/>
      <c r="CE2" s="256"/>
      <c r="CF2" s="256"/>
      <c r="CG2" s="256"/>
    </row>
    <row r="3" spans="3:90" ht="15" customHeight="1">
      <c r="C3" s="763"/>
      <c r="D3" s="764"/>
      <c r="E3" s="764"/>
      <c r="F3" s="764"/>
      <c r="G3" s="764"/>
      <c r="H3" s="765"/>
      <c r="I3" s="596"/>
      <c r="J3" s="596"/>
      <c r="K3" s="596"/>
      <c r="L3" s="596"/>
      <c r="M3" s="596"/>
      <c r="AG3" s="255"/>
      <c r="BD3" s="255"/>
      <c r="BZ3" s="42"/>
      <c r="CA3" s="42"/>
      <c r="CB3" s="42"/>
      <c r="CC3" s="42"/>
      <c r="CD3" s="42"/>
      <c r="CE3" s="42"/>
      <c r="CF3" s="42"/>
      <c r="CG3" s="42"/>
    </row>
    <row r="4" spans="3:90" ht="15.75" customHeight="1" thickBot="1">
      <c r="C4" s="766"/>
      <c r="D4" s="767"/>
      <c r="E4" s="767"/>
      <c r="F4" s="767"/>
      <c r="G4" s="767"/>
      <c r="H4" s="768"/>
      <c r="I4" s="596"/>
      <c r="J4" s="596"/>
      <c r="K4" s="596"/>
      <c r="L4" s="596"/>
      <c r="M4" s="596"/>
      <c r="BZ4" s="42"/>
      <c r="CA4" s="42"/>
      <c r="CB4" s="42"/>
      <c r="CC4" s="42"/>
      <c r="CD4" s="42"/>
      <c r="CE4" s="42"/>
      <c r="CF4" s="42"/>
      <c r="CG4" s="42"/>
    </row>
    <row r="5" spans="3:90" ht="13.5" customHeight="1">
      <c r="G5" s="257"/>
      <c r="H5" s="257"/>
      <c r="AG5" s="255"/>
      <c r="AX5" s="257"/>
      <c r="AY5" s="257"/>
      <c r="AZ5" s="257"/>
      <c r="BD5" s="255"/>
      <c r="BQ5" s="257"/>
      <c r="BR5" s="257"/>
      <c r="BS5" s="257"/>
      <c r="BZ5" s="42"/>
      <c r="CA5" s="258"/>
      <c r="CB5" s="258"/>
      <c r="CC5" s="258"/>
      <c r="CD5" s="258"/>
      <c r="CE5" s="258"/>
      <c r="CF5" s="258"/>
      <c r="CG5" s="258"/>
      <c r="CJ5" s="259"/>
      <c r="CK5" s="259"/>
      <c r="CL5" s="259"/>
    </row>
    <row r="6" spans="3:90" ht="14.5">
      <c r="C6" s="707" t="s">
        <v>3692</v>
      </c>
      <c r="G6" s="257"/>
      <c r="H6" s="257"/>
      <c r="AG6" s="255"/>
      <c r="AX6" s="257"/>
      <c r="AY6" s="257"/>
      <c r="AZ6" s="257"/>
      <c r="BD6" s="255"/>
      <c r="BQ6" s="257"/>
      <c r="BR6" s="257"/>
      <c r="BS6" s="257"/>
      <c r="BZ6" s="42"/>
      <c r="CA6" s="258"/>
      <c r="CB6" s="258"/>
      <c r="CC6" s="258"/>
      <c r="CD6" s="258"/>
      <c r="CE6" s="258"/>
      <c r="CF6" s="258"/>
      <c r="CG6" s="258"/>
      <c r="CJ6" s="259"/>
      <c r="CK6" s="259"/>
      <c r="CL6" s="259"/>
    </row>
    <row r="7" spans="3:90" ht="14.5">
      <c r="C7" s="707" t="s">
        <v>3693</v>
      </c>
      <c r="G7" s="257"/>
      <c r="H7" s="257"/>
      <c r="AG7" s="255"/>
      <c r="AX7" s="257"/>
      <c r="AY7" s="257"/>
      <c r="AZ7" s="257"/>
      <c r="BD7" s="255"/>
      <c r="BQ7" s="257"/>
      <c r="BR7" s="257"/>
      <c r="BS7" s="257"/>
      <c r="BZ7" s="42"/>
      <c r="CA7" s="258"/>
      <c r="CB7" s="258"/>
      <c r="CC7" s="258"/>
      <c r="CD7" s="258"/>
      <c r="CE7" s="258"/>
      <c r="CF7" s="258"/>
      <c r="CG7" s="258"/>
      <c r="CJ7" s="259"/>
      <c r="CK7" s="259"/>
      <c r="CL7" s="259"/>
    </row>
    <row r="8" spans="3:90" ht="14.5">
      <c r="C8" s="708" t="s">
        <v>3694</v>
      </c>
      <c r="G8" s="257"/>
      <c r="H8" s="257"/>
      <c r="AG8" s="255"/>
      <c r="AX8" s="257"/>
      <c r="AY8" s="257"/>
      <c r="AZ8" s="257"/>
      <c r="BD8" s="255"/>
      <c r="BQ8" s="257"/>
      <c r="BR8" s="257"/>
      <c r="BS8" s="257"/>
      <c r="BZ8" s="42"/>
      <c r="CA8" s="258"/>
      <c r="CB8" s="258"/>
      <c r="CC8" s="258"/>
      <c r="CD8" s="258"/>
      <c r="CE8" s="258"/>
      <c r="CF8" s="258"/>
      <c r="CG8" s="258"/>
      <c r="CJ8" s="259"/>
      <c r="CK8" s="259"/>
      <c r="CL8" s="259"/>
    </row>
    <row r="9" spans="3:90" ht="14.5">
      <c r="C9" s="707" t="s">
        <v>3695</v>
      </c>
      <c r="G9" s="257"/>
      <c r="H9" s="257"/>
      <c r="AG9" s="255"/>
      <c r="AX9" s="257"/>
      <c r="AY9" s="257"/>
      <c r="AZ9" s="257"/>
      <c r="BD9" s="255"/>
      <c r="BQ9" s="257"/>
      <c r="BR9" s="257"/>
      <c r="BS9" s="257"/>
      <c r="BZ9" s="42"/>
      <c r="CA9" s="258"/>
      <c r="CB9" s="258"/>
      <c r="CC9" s="258"/>
      <c r="CD9" s="258"/>
      <c r="CE9" s="258"/>
      <c r="CF9" s="258"/>
      <c r="CG9" s="258"/>
      <c r="CJ9" s="259"/>
      <c r="CK9" s="259"/>
      <c r="CL9" s="259"/>
    </row>
    <row r="10" spans="3:90" ht="14.5">
      <c r="C10" s="260"/>
      <c r="D10" s="597" t="s">
        <v>3696</v>
      </c>
      <c r="G10" s="257"/>
      <c r="H10" s="257"/>
      <c r="N10" s="261"/>
      <c r="Q10" s="262"/>
      <c r="AG10" s="255"/>
      <c r="AX10" s="257"/>
      <c r="AY10" s="257"/>
      <c r="AZ10" s="257"/>
      <c r="BD10" s="255"/>
      <c r="BQ10" s="257"/>
      <c r="BR10" s="257"/>
      <c r="BS10" s="257"/>
      <c r="BZ10" s="42"/>
      <c r="CA10" s="258"/>
      <c r="CB10" s="258"/>
      <c r="CC10" s="258"/>
      <c r="CD10" s="258"/>
      <c r="CE10" s="258"/>
      <c r="CF10" s="258"/>
      <c r="CG10" s="258"/>
      <c r="CJ10" s="259"/>
      <c r="CK10" s="259"/>
      <c r="CL10" s="259"/>
    </row>
    <row r="11" spans="3:90" ht="15" thickBot="1">
      <c r="C11" s="263"/>
      <c r="D11" s="597" t="s">
        <v>2776</v>
      </c>
      <c r="G11" s="257"/>
      <c r="H11" s="257"/>
      <c r="AG11" s="255"/>
      <c r="AX11" s="257"/>
      <c r="AY11" s="257"/>
      <c r="AZ11" s="257"/>
      <c r="BD11" s="255"/>
      <c r="BQ11" s="257"/>
      <c r="BR11" s="257"/>
      <c r="BS11" s="257"/>
      <c r="BZ11" s="42"/>
      <c r="CA11" s="258"/>
      <c r="CB11" s="258"/>
      <c r="CC11" s="258"/>
      <c r="CD11" s="258"/>
      <c r="CE11" s="258"/>
      <c r="CF11" s="258"/>
      <c r="CG11" s="258"/>
      <c r="CJ11" s="259"/>
      <c r="CK11" s="259"/>
      <c r="CL11" s="259"/>
    </row>
    <row r="12" spans="3:90" ht="15" thickBot="1">
      <c r="C12" s="264"/>
      <c r="D12" s="597" t="s">
        <v>3697</v>
      </c>
      <c r="G12" s="257"/>
      <c r="H12" s="257"/>
      <c r="W12" s="781" t="s">
        <v>2744</v>
      </c>
      <c r="X12" s="782"/>
      <c r="Y12" s="782"/>
      <c r="Z12" s="782"/>
      <c r="AA12" s="782"/>
      <c r="AB12" s="783"/>
      <c r="AG12" s="255"/>
      <c r="AX12" s="257"/>
      <c r="AY12" s="257"/>
      <c r="AZ12" s="257"/>
      <c r="BD12" s="255"/>
      <c r="BQ12" s="257"/>
      <c r="BR12" s="257"/>
      <c r="BS12" s="257"/>
      <c r="BZ12" s="42"/>
      <c r="CA12" s="258"/>
      <c r="CB12" s="258"/>
      <c r="CC12" s="258"/>
      <c r="CD12" s="258"/>
      <c r="CE12" s="258"/>
      <c r="CF12" s="258"/>
      <c r="CG12" s="258"/>
      <c r="CJ12" s="259"/>
      <c r="CK12" s="259"/>
      <c r="CL12" s="259"/>
    </row>
    <row r="13" spans="3:90" ht="15" thickBot="1">
      <c r="C13" s="265"/>
      <c r="J13" s="266"/>
      <c r="K13" s="266"/>
      <c r="L13" s="266"/>
      <c r="N13" s="267"/>
      <c r="O13" s="268"/>
      <c r="P13" s="269"/>
      <c r="R13" s="269"/>
      <c r="S13" s="270"/>
      <c r="T13" s="271"/>
      <c r="U13" s="272"/>
      <c r="V13" s="271"/>
      <c r="W13" s="784" t="s">
        <v>442</v>
      </c>
      <c r="X13" s="785"/>
      <c r="Y13" s="785"/>
      <c r="Z13" s="785"/>
      <c r="AA13" s="785"/>
      <c r="AB13" s="786"/>
    </row>
    <row r="14" spans="3:90" ht="59.5" customHeight="1" thickBot="1">
      <c r="C14" s="694">
        <v>2021</v>
      </c>
      <c r="D14" s="752" t="s">
        <v>3698</v>
      </c>
      <c r="E14" s="753"/>
      <c r="F14" s="775" t="s">
        <v>3700</v>
      </c>
      <c r="G14" s="776"/>
      <c r="H14" s="273"/>
      <c r="I14" s="715" t="s">
        <v>3703</v>
      </c>
      <c r="J14" s="716" t="s">
        <v>190</v>
      </c>
      <c r="K14" s="717" t="s">
        <v>3704</v>
      </c>
      <c r="L14" s="718" t="s">
        <v>3705</v>
      </c>
      <c r="M14" s="262"/>
      <c r="N14" s="752" t="s">
        <v>3706</v>
      </c>
      <c r="O14" s="753"/>
      <c r="P14" s="775" t="s">
        <v>3707</v>
      </c>
      <c r="Q14" s="776"/>
      <c r="R14" s="274"/>
      <c r="S14" s="275"/>
      <c r="T14" s="276"/>
      <c r="U14" s="275"/>
      <c r="V14" s="274"/>
      <c r="W14" s="277"/>
      <c r="X14" s="278" t="s">
        <v>2741</v>
      </c>
      <c r="Y14" s="278" t="s">
        <v>2742</v>
      </c>
      <c r="Z14" s="278" t="s">
        <v>2743</v>
      </c>
      <c r="AA14" s="377" t="s">
        <v>343</v>
      </c>
      <c r="AB14" s="279"/>
      <c r="AE14" s="275"/>
      <c r="AF14" s="276"/>
      <c r="AG14" s="275"/>
      <c r="AH14" s="274"/>
      <c r="AI14" s="275"/>
      <c r="AL14" s="280"/>
      <c r="AM14" s="276"/>
      <c r="AN14" s="280"/>
      <c r="AS14" s="280"/>
      <c r="AT14" s="276"/>
      <c r="AU14" s="280"/>
      <c r="AZ14" s="280"/>
      <c r="BA14" s="276"/>
      <c r="BB14" s="280"/>
    </row>
    <row r="15" spans="3:90" ht="42" customHeight="1">
      <c r="D15" s="769" t="s">
        <v>3699</v>
      </c>
      <c r="E15" s="770"/>
      <c r="F15" s="709" t="s">
        <v>3701</v>
      </c>
      <c r="G15" s="710" t="s">
        <v>3702</v>
      </c>
      <c r="I15" s="719" t="s">
        <v>3708</v>
      </c>
      <c r="J15" s="720">
        <f>K15+L15</f>
        <v>20525085</v>
      </c>
      <c r="K15" s="720">
        <v>3001576</v>
      </c>
      <c r="L15" s="720">
        <v>17523509</v>
      </c>
      <c r="N15" s="787" t="s">
        <v>3709</v>
      </c>
      <c r="O15" s="788"/>
      <c r="P15" s="709" t="s">
        <v>3710</v>
      </c>
      <c r="Q15" s="710" t="s">
        <v>3702</v>
      </c>
      <c r="R15" s="281"/>
      <c r="S15" s="281"/>
      <c r="T15" s="281"/>
      <c r="U15" s="275"/>
      <c r="V15" s="282"/>
      <c r="W15" s="277">
        <f>C14</f>
        <v>2021</v>
      </c>
      <c r="X15" s="325">
        <f>'Generation Load Imports'!B30</f>
        <v>284743</v>
      </c>
      <c r="Y15" s="325">
        <f>'Generation Load Imports'!C7*1000</f>
        <v>9154000</v>
      </c>
      <c r="Z15" s="325">
        <f>X15+Y15</f>
        <v>9438743</v>
      </c>
      <c r="AA15" s="602">
        <f>(Y15/Z15)</f>
        <v>0.96983252960696142</v>
      </c>
      <c r="AB15" s="279"/>
      <c r="AE15" s="282"/>
      <c r="AG15" s="275"/>
      <c r="AH15" s="282"/>
      <c r="AI15" s="282"/>
      <c r="AZ15" s="276"/>
      <c r="BA15" s="44"/>
      <c r="BB15" s="44"/>
    </row>
    <row r="16" spans="3:90" ht="15" thickBot="1">
      <c r="D16" s="771" t="s">
        <v>1551</v>
      </c>
      <c r="E16" s="772"/>
      <c r="F16" s="711">
        <f>T24</f>
        <v>465.71763791118246</v>
      </c>
      <c r="G16" s="712">
        <f>CT24</f>
        <v>426.11666736196196</v>
      </c>
      <c r="I16" s="721" t="s">
        <v>3711</v>
      </c>
      <c r="J16" s="722">
        <f>K16+L16</f>
        <v>3256613457.5035257</v>
      </c>
      <c r="K16" s="723">
        <v>2000</v>
      </c>
      <c r="L16" s="728">
        <v>3256611457.5035257</v>
      </c>
      <c r="N16" s="771" t="s">
        <v>1551</v>
      </c>
      <c r="O16" s="772"/>
      <c r="P16" s="711">
        <f>(S24-J16)/(F24-J15)</f>
        <v>634.36196778535054</v>
      </c>
      <c r="Q16" s="712">
        <f>(CS24-J16)/(CQ24-J15)</f>
        <v>477.60784661552407</v>
      </c>
      <c r="R16" s="282"/>
      <c r="S16" s="282"/>
      <c r="T16" s="284"/>
      <c r="U16" s="275"/>
      <c r="V16" s="282"/>
      <c r="W16" s="285"/>
      <c r="X16" s="346"/>
      <c r="Y16" s="346"/>
      <c r="Z16" s="346"/>
      <c r="AA16" s="346"/>
      <c r="AB16" s="286"/>
      <c r="AE16" s="282"/>
      <c r="AG16" s="275"/>
      <c r="AH16" s="282"/>
      <c r="AI16" s="282"/>
      <c r="AS16" s="276"/>
      <c r="AT16" s="44"/>
      <c r="AU16" s="44"/>
      <c r="AZ16" s="276"/>
      <c r="BA16" s="44"/>
      <c r="BB16" s="44"/>
    </row>
    <row r="17" spans="1:123" ht="15" thickBot="1">
      <c r="A17" s="287"/>
      <c r="D17" s="773" t="s">
        <v>220</v>
      </c>
      <c r="E17" s="774"/>
      <c r="F17" s="713">
        <f>T33</f>
        <v>71.487436599275924</v>
      </c>
      <c r="G17" s="714">
        <f>CT33</f>
        <v>126.30376624582925</v>
      </c>
      <c r="I17" s="724" t="s">
        <v>3712</v>
      </c>
      <c r="J17" s="725">
        <f>K17+L17</f>
        <v>3564526782.998292</v>
      </c>
      <c r="K17" s="726">
        <v>288000</v>
      </c>
      <c r="L17" s="727">
        <v>3564238782.998292</v>
      </c>
      <c r="N17" s="773" t="s">
        <v>220</v>
      </c>
      <c r="O17" s="774"/>
      <c r="P17" s="713">
        <f>(S33-J17)/(F33-J15)</f>
        <v>15.366829674860504</v>
      </c>
      <c r="Q17" s="714">
        <f>(CS33-J17)/(CQ33-J15)</f>
        <v>117.18517952137447</v>
      </c>
      <c r="R17" s="282"/>
      <c r="S17" s="282"/>
      <c r="T17" s="284"/>
      <c r="U17" s="275"/>
      <c r="V17" s="282"/>
      <c r="W17" s="92" t="s">
        <v>195</v>
      </c>
      <c r="AC17" s="275"/>
      <c r="AD17" s="282"/>
      <c r="AE17" s="282"/>
      <c r="AG17" s="275"/>
      <c r="AH17" s="282"/>
      <c r="AI17" s="282"/>
      <c r="AL17" s="276"/>
      <c r="AM17" s="44"/>
      <c r="AN17" s="44"/>
      <c r="AS17" s="276"/>
      <c r="AT17" s="44"/>
      <c r="AU17" s="44"/>
      <c r="AZ17" s="276"/>
      <c r="BA17" s="44"/>
      <c r="BB17" s="44"/>
    </row>
    <row r="18" spans="1:123" ht="17.25" customHeight="1" thickBot="1"/>
    <row r="19" spans="1:123" ht="13.5" customHeight="1">
      <c r="B19" s="288" t="s">
        <v>1549</v>
      </c>
      <c r="C19" s="289"/>
      <c r="D19" s="289"/>
      <c r="E19" s="289"/>
      <c r="F19" s="289"/>
      <c r="G19" s="290"/>
      <c r="H19" s="289"/>
      <c r="I19" s="289"/>
      <c r="J19" s="289"/>
      <c r="K19" s="289"/>
      <c r="L19" s="289"/>
      <c r="M19" s="289"/>
      <c r="N19" s="289"/>
      <c r="O19" s="289"/>
      <c r="P19" s="289"/>
      <c r="Q19" s="289"/>
      <c r="R19" s="289"/>
      <c r="S19" s="291"/>
      <c r="T19" s="292"/>
      <c r="V19" s="293" t="s">
        <v>344</v>
      </c>
      <c r="W19" s="289"/>
      <c r="X19" s="289"/>
      <c r="Y19" s="289"/>
      <c r="Z19" s="289"/>
      <c r="AA19" s="289"/>
      <c r="AB19" s="289"/>
      <c r="AC19" s="289"/>
      <c r="AD19" s="289"/>
      <c r="AE19" s="289"/>
      <c r="AF19" s="289"/>
      <c r="AG19" s="289"/>
      <c r="AH19" s="289"/>
      <c r="AI19" s="289"/>
      <c r="AJ19" s="289"/>
      <c r="AK19" s="289"/>
      <c r="AL19" s="289"/>
      <c r="AM19" s="289"/>
      <c r="AN19" s="289"/>
      <c r="AO19" s="289"/>
      <c r="AP19" s="289"/>
      <c r="AQ19" s="289"/>
      <c r="AR19" s="289"/>
      <c r="AS19" s="289"/>
      <c r="AT19" s="289"/>
      <c r="AU19" s="289"/>
      <c r="AV19" s="289"/>
      <c r="AW19" s="289"/>
      <c r="AX19" s="289"/>
      <c r="AY19" s="289"/>
      <c r="AZ19" s="289"/>
      <c r="BA19" s="289"/>
      <c r="BB19" s="289"/>
      <c r="BC19" s="289"/>
      <c r="BD19" s="289"/>
      <c r="BE19" s="289"/>
      <c r="BF19" s="289"/>
      <c r="BG19" s="289"/>
      <c r="BH19" s="289"/>
      <c r="BI19" s="289"/>
      <c r="BJ19" s="289"/>
      <c r="BK19" s="289"/>
      <c r="BL19" s="289"/>
      <c r="BM19" s="289"/>
      <c r="BN19" s="289"/>
      <c r="BO19" s="292"/>
      <c r="BQ19" s="293" t="s">
        <v>345</v>
      </c>
      <c r="BR19" s="289"/>
      <c r="BS19" s="289"/>
      <c r="BT19" s="289"/>
      <c r="BU19" s="289"/>
      <c r="BV19" s="289"/>
      <c r="BW19" s="289"/>
      <c r="BX19" s="289"/>
      <c r="BY19" s="289"/>
      <c r="BZ19" s="289"/>
      <c r="CA19" s="289"/>
      <c r="CB19" s="289"/>
      <c r="CC19" s="289"/>
      <c r="CD19" s="289"/>
      <c r="CE19" s="289"/>
      <c r="CF19" s="289"/>
      <c r="CG19" s="289"/>
      <c r="CH19" s="289"/>
      <c r="CI19" s="289"/>
      <c r="CJ19" s="289"/>
      <c r="CK19" s="292"/>
      <c r="CM19" s="293" t="s">
        <v>346</v>
      </c>
      <c r="CN19" s="289"/>
      <c r="CO19" s="289"/>
      <c r="CP19" s="289"/>
      <c r="CQ19" s="289"/>
      <c r="CR19" s="289"/>
      <c r="CS19" s="289"/>
      <c r="CT19" s="289"/>
      <c r="CU19" s="289"/>
      <c r="CV19" s="292"/>
    </row>
    <row r="20" spans="1:123" ht="13.5" customHeight="1" thickBot="1">
      <c r="B20" s="277"/>
      <c r="S20" s="262"/>
      <c r="T20" s="279"/>
      <c r="V20" s="294" t="s">
        <v>347</v>
      </c>
      <c r="BO20" s="279"/>
      <c r="BQ20" s="294" t="s">
        <v>347</v>
      </c>
      <c r="BV20" s="295"/>
      <c r="BW20" s="262"/>
      <c r="CK20" s="279"/>
      <c r="CM20" s="277"/>
      <c r="CV20" s="279"/>
    </row>
    <row r="21" spans="1:123" ht="15" customHeight="1">
      <c r="B21" s="277"/>
      <c r="D21" s="756" t="s">
        <v>348</v>
      </c>
      <c r="E21" s="777"/>
      <c r="F21" s="777"/>
      <c r="G21" s="757"/>
      <c r="H21" s="754" t="s">
        <v>349</v>
      </c>
      <c r="I21" s="756" t="s">
        <v>350</v>
      </c>
      <c r="J21" s="757"/>
      <c r="K21" s="756" t="s">
        <v>351</v>
      </c>
      <c r="L21" s="777"/>
      <c r="M21" s="757"/>
      <c r="N21" s="754" t="s">
        <v>352</v>
      </c>
      <c r="O21" s="756" t="s">
        <v>353</v>
      </c>
      <c r="P21" s="777"/>
      <c r="Q21" s="757"/>
      <c r="R21" s="754" t="s">
        <v>342</v>
      </c>
      <c r="S21" s="754" t="s">
        <v>354</v>
      </c>
      <c r="T21" s="754" t="s">
        <v>196</v>
      </c>
      <c r="V21" s="277"/>
      <c r="BO21" s="279"/>
      <c r="BQ21" s="277"/>
      <c r="BV21" s="262"/>
      <c r="BW21" s="262"/>
      <c r="CK21" s="279"/>
      <c r="CM21" s="277"/>
      <c r="CV21" s="279"/>
    </row>
    <row r="22" spans="1:123" ht="31.5" customHeight="1" thickBot="1">
      <c r="B22" s="277"/>
      <c r="D22" s="758"/>
      <c r="E22" s="778"/>
      <c r="F22" s="778"/>
      <c r="G22" s="759"/>
      <c r="H22" s="755"/>
      <c r="I22" s="779"/>
      <c r="J22" s="780"/>
      <c r="K22" s="758"/>
      <c r="L22" s="778"/>
      <c r="M22" s="759"/>
      <c r="N22" s="755"/>
      <c r="O22" s="758"/>
      <c r="P22" s="778"/>
      <c r="Q22" s="759"/>
      <c r="R22" s="755"/>
      <c r="S22" s="755"/>
      <c r="T22" s="755"/>
      <c r="V22" s="277"/>
      <c r="W22" s="296" t="s">
        <v>90</v>
      </c>
      <c r="X22" s="263"/>
      <c r="Y22" s="263"/>
      <c r="Z22" s="263"/>
      <c r="AA22" s="263"/>
      <c r="AB22" s="263"/>
      <c r="AC22" s="263"/>
      <c r="AD22" s="263"/>
      <c r="AF22" s="296" t="s">
        <v>96</v>
      </c>
      <c r="AG22" s="263"/>
      <c r="AH22" s="263"/>
      <c r="AI22" s="263"/>
      <c r="AJ22" s="263"/>
      <c r="AK22" s="263"/>
      <c r="AL22" s="263"/>
      <c r="AM22" s="263"/>
      <c r="AO22" s="296" t="s">
        <v>355</v>
      </c>
      <c r="AP22" s="263"/>
      <c r="AQ22" s="263"/>
      <c r="AR22" s="263"/>
      <c r="AS22" s="263"/>
      <c r="AT22" s="263"/>
      <c r="AU22" s="263"/>
      <c r="AV22" s="263"/>
      <c r="AX22" s="296" t="s">
        <v>41</v>
      </c>
      <c r="AY22" s="263"/>
      <c r="AZ22" s="263"/>
      <c r="BA22" s="263"/>
      <c r="BB22" s="263"/>
      <c r="BC22" s="263"/>
      <c r="BD22" s="263"/>
      <c r="BE22" s="263"/>
      <c r="BG22" s="296" t="s">
        <v>131</v>
      </c>
      <c r="BH22" s="263"/>
      <c r="BI22" s="263"/>
      <c r="BJ22" s="263"/>
      <c r="BK22" s="263"/>
      <c r="BL22" s="263"/>
      <c r="BM22" s="263"/>
      <c r="BN22" s="263"/>
      <c r="BO22" s="279"/>
      <c r="BQ22" s="277"/>
      <c r="BR22" s="296" t="s">
        <v>57</v>
      </c>
      <c r="BS22" s="263"/>
      <c r="BT22" s="263"/>
      <c r="BU22" s="263"/>
      <c r="BV22" s="296"/>
      <c r="BW22" s="296"/>
      <c r="BX22" s="263"/>
      <c r="BZ22" s="296" t="s">
        <v>229</v>
      </c>
      <c r="CA22" s="296"/>
      <c r="CB22" s="263"/>
      <c r="CC22" s="263"/>
      <c r="CD22" s="263"/>
      <c r="CF22" s="296" t="s">
        <v>228</v>
      </c>
      <c r="CG22" s="296"/>
      <c r="CH22" s="263"/>
      <c r="CI22" s="263"/>
      <c r="CJ22" s="263"/>
      <c r="CK22" s="279"/>
      <c r="CM22" s="277"/>
      <c r="CN22" s="297" t="s">
        <v>357</v>
      </c>
      <c r="CO22" s="298"/>
      <c r="CP22" s="299"/>
      <c r="CQ22" s="299"/>
      <c r="CR22" s="299"/>
      <c r="CS22" s="299"/>
      <c r="CT22" s="299"/>
      <c r="CU22" s="300"/>
      <c r="CV22" s="301"/>
      <c r="DP22" s="302"/>
    </row>
    <row r="23" spans="1:123" ht="66" customHeight="1">
      <c r="B23" s="277"/>
      <c r="C23" s="303" t="s">
        <v>370</v>
      </c>
      <c r="D23" s="304" t="s">
        <v>3358</v>
      </c>
      <c r="E23" s="305" t="s">
        <v>2673</v>
      </c>
      <c r="F23" s="306" t="s">
        <v>2689</v>
      </c>
      <c r="G23" s="307" t="s">
        <v>2674</v>
      </c>
      <c r="H23" s="308" t="s">
        <v>2675</v>
      </c>
      <c r="I23" s="304" t="s">
        <v>2676</v>
      </c>
      <c r="J23" s="307" t="s">
        <v>358</v>
      </c>
      <c r="K23" s="309" t="s">
        <v>359</v>
      </c>
      <c r="L23" s="310" t="s">
        <v>360</v>
      </c>
      <c r="M23" s="311" t="s">
        <v>361</v>
      </c>
      <c r="N23" s="304" t="s">
        <v>2677</v>
      </c>
      <c r="O23" s="304" t="s">
        <v>2678</v>
      </c>
      <c r="P23" s="305" t="s">
        <v>2679</v>
      </c>
      <c r="Q23" s="307" t="s">
        <v>2680</v>
      </c>
      <c r="R23" s="312" t="s">
        <v>2681</v>
      </c>
      <c r="S23" s="303" t="s">
        <v>2682</v>
      </c>
      <c r="T23" s="313" t="s">
        <v>2683</v>
      </c>
      <c r="V23" s="314"/>
      <c r="W23" s="315" t="s">
        <v>2701</v>
      </c>
      <c r="X23" s="315" t="s">
        <v>2702</v>
      </c>
      <c r="Y23" s="316" t="s">
        <v>2703</v>
      </c>
      <c r="Z23" s="315" t="s">
        <v>2704</v>
      </c>
      <c r="AA23" s="315" t="s">
        <v>362</v>
      </c>
      <c r="AB23" s="315" t="s">
        <v>2705</v>
      </c>
      <c r="AC23" s="315" t="s">
        <v>2706</v>
      </c>
      <c r="AD23" s="315" t="s">
        <v>2564</v>
      </c>
      <c r="AE23" s="316"/>
      <c r="AF23" s="315" t="s">
        <v>2701</v>
      </c>
      <c r="AG23" s="315" t="s">
        <v>2702</v>
      </c>
      <c r="AH23" s="316" t="s">
        <v>2703</v>
      </c>
      <c r="AI23" s="315" t="s">
        <v>2704</v>
      </c>
      <c r="AJ23" s="315" t="s">
        <v>362</v>
      </c>
      <c r="AK23" s="315" t="s">
        <v>2705</v>
      </c>
      <c r="AL23" s="315" t="s">
        <v>2706</v>
      </c>
      <c r="AM23" s="315" t="s">
        <v>2564</v>
      </c>
      <c r="AN23" s="316"/>
      <c r="AO23" s="315" t="s">
        <v>2701</v>
      </c>
      <c r="AP23" s="315" t="s">
        <v>2702</v>
      </c>
      <c r="AQ23" s="316" t="s">
        <v>2703</v>
      </c>
      <c r="AR23" s="315" t="s">
        <v>2704</v>
      </c>
      <c r="AS23" s="315" t="s">
        <v>362</v>
      </c>
      <c r="AT23" s="315" t="s">
        <v>2705</v>
      </c>
      <c r="AU23" s="315" t="s">
        <v>2706</v>
      </c>
      <c r="AV23" s="315" t="s">
        <v>2564</v>
      </c>
      <c r="AW23" s="316"/>
      <c r="AX23" s="315" t="s">
        <v>2701</v>
      </c>
      <c r="AY23" s="315" t="s">
        <v>2702</v>
      </c>
      <c r="AZ23" s="316" t="s">
        <v>2703</v>
      </c>
      <c r="BA23" s="315" t="s">
        <v>2704</v>
      </c>
      <c r="BB23" s="315" t="s">
        <v>362</v>
      </c>
      <c r="BC23" s="315" t="s">
        <v>2705</v>
      </c>
      <c r="BD23" s="315" t="s">
        <v>2706</v>
      </c>
      <c r="BE23" s="315" t="s">
        <v>2564</v>
      </c>
      <c r="BF23" s="316"/>
      <c r="BG23" s="315" t="s">
        <v>2701</v>
      </c>
      <c r="BH23" s="315" t="s">
        <v>2702</v>
      </c>
      <c r="BI23" s="316" t="s">
        <v>2703</v>
      </c>
      <c r="BJ23" s="315" t="s">
        <v>2704</v>
      </c>
      <c r="BK23" s="315" t="s">
        <v>362</v>
      </c>
      <c r="BL23" s="315" t="s">
        <v>2705</v>
      </c>
      <c r="BM23" s="315" t="s">
        <v>2706</v>
      </c>
      <c r="BN23" s="315" t="s">
        <v>2564</v>
      </c>
      <c r="BO23" s="279"/>
      <c r="BQ23" s="277"/>
      <c r="BR23" s="317" t="s">
        <v>363</v>
      </c>
      <c r="BS23" s="315" t="s">
        <v>2707</v>
      </c>
      <c r="BT23" s="315" t="s">
        <v>2708</v>
      </c>
      <c r="BU23" s="315" t="s">
        <v>364</v>
      </c>
      <c r="BV23" s="315" t="s">
        <v>2709</v>
      </c>
      <c r="BW23" s="315" t="s">
        <v>2706</v>
      </c>
      <c r="BX23" s="315" t="s">
        <v>2564</v>
      </c>
      <c r="BZ23" s="315" t="s">
        <v>2707</v>
      </c>
      <c r="CA23" s="315" t="s">
        <v>2708</v>
      </c>
      <c r="CB23" s="315" t="s">
        <v>362</v>
      </c>
      <c r="CC23" s="315" t="s">
        <v>2706</v>
      </c>
      <c r="CD23" s="315" t="s">
        <v>2564</v>
      </c>
      <c r="CF23" s="315" t="s">
        <v>2707</v>
      </c>
      <c r="CG23" s="315" t="s">
        <v>2708</v>
      </c>
      <c r="CH23" s="315" t="s">
        <v>362</v>
      </c>
      <c r="CI23" s="315" t="s">
        <v>2710</v>
      </c>
      <c r="CJ23" s="315" t="s">
        <v>2564</v>
      </c>
      <c r="CK23" s="279"/>
      <c r="CM23" s="277"/>
      <c r="CN23" s="318" t="s">
        <v>2712</v>
      </c>
      <c r="CO23" s="318" t="s">
        <v>2713</v>
      </c>
      <c r="CP23" s="318" t="s">
        <v>365</v>
      </c>
      <c r="CQ23" s="318" t="s">
        <v>2714</v>
      </c>
      <c r="CR23" s="318" t="s">
        <v>366</v>
      </c>
      <c r="CS23" s="318" t="s">
        <v>2715</v>
      </c>
      <c r="CT23" s="319" t="s">
        <v>2716</v>
      </c>
      <c r="CU23" s="310" t="s">
        <v>191</v>
      </c>
      <c r="CV23" s="320"/>
      <c r="CY23" s="283"/>
      <c r="DP23" s="316"/>
      <c r="DQ23" s="316"/>
      <c r="DR23" s="316"/>
      <c r="DS23" s="316"/>
    </row>
    <row r="24" spans="1:123" ht="13.5" thickBot="1">
      <c r="B24" s="321"/>
      <c r="C24" s="322">
        <f>C14</f>
        <v>2021</v>
      </c>
      <c r="D24" s="323">
        <f>'State &amp; Province Summary'!C59+'State &amp; Province Summary'!D62</f>
        <v>39929040</v>
      </c>
      <c r="E24" s="324">
        <f>'Generation Load Imports'!H18*1000+'State &amp; Province Summary'!D59</f>
        <v>56735213</v>
      </c>
      <c r="F24" s="324">
        <f>E24+((E24/CO24)*CP24)</f>
        <v>57895334.277429536</v>
      </c>
      <c r="G24" s="326">
        <f>'State &amp; Province Summary'!C20+'State &amp; Province Summary'!D20</f>
        <v>15732056917.835926</v>
      </c>
      <c r="H24" s="327">
        <f>F24-(D24)</f>
        <v>17966294.277429536</v>
      </c>
      <c r="I24" s="729">
        <f>SUM(IF(H24&gt;0,H24,0),(IF(W24&lt;Y24,Y24-W24,0)),(IF(AF24&lt;AH24,AH24-AF24,0)),(IF(AO24&lt;AQ24,AQ24-AO24,0)),(IF(AX24&lt;AZ24,AZ24-AX24,0)),(IF(BG24&lt;BI24,BI24-BG24,0)),(IF(BS24&lt;0,(BS24*-1),0)),(IF(BZ24&lt;0,(BZ24*-1),0)),(IF(CF24&lt;0,(CF24*-1),0)))</f>
        <v>26617669.274043933</v>
      </c>
      <c r="J24" s="328">
        <f>IF(H24&gt;0,H24/I24,0)</f>
        <v>0.67497623824446806</v>
      </c>
      <c r="K24" s="323">
        <f>SUM(AA24,AJ24,AS24,BB24,BK24)</f>
        <v>12138562.935951564</v>
      </c>
      <c r="L24" s="324">
        <f>SUM(BU24,CB24,CH24)</f>
        <v>5827731.3414779725</v>
      </c>
      <c r="M24" s="329">
        <f>K24+L24</f>
        <v>17966294.277429536</v>
      </c>
      <c r="N24" s="330">
        <f>SUM(AD24,AM24,AV24,BE24,BN24)</f>
        <v>10259203485.568327</v>
      </c>
      <c r="O24" s="331">
        <f>BX24</f>
        <v>0</v>
      </c>
      <c r="P24" s="331">
        <f>SUM(CD24+CJ24)</f>
        <v>971617922.35854602</v>
      </c>
      <c r="Q24" s="332">
        <f>O24+P24</f>
        <v>971617922.35854602</v>
      </c>
      <c r="R24" s="333">
        <f>N24+Q24+(IF(H24&lt;0,G24*H24/D24,0))</f>
        <v>11230821407.926872</v>
      </c>
      <c r="S24" s="334">
        <f>G24+R24</f>
        <v>26962878325.762798</v>
      </c>
      <c r="T24" s="335">
        <f>S24/F24</f>
        <v>465.71763791118246</v>
      </c>
      <c r="V24" s="277">
        <f>C14</f>
        <v>2021</v>
      </c>
      <c r="W24" s="336">
        <f>'State &amp; Province Summary'!C64+'State &amp; Province Summary'!D67</f>
        <v>6906472</v>
      </c>
      <c r="X24" s="325">
        <f>'Generation Load Imports'!C18*1000+'State &amp; Province Summary'!D64</f>
        <v>12770656</v>
      </c>
      <c r="Y24" s="325">
        <f>X24+((X24/CO24)*CP24)</f>
        <v>13031790.293306224</v>
      </c>
      <c r="Z24" s="325">
        <f>IF(W24&gt;Y24,W24-Y24,0)</f>
        <v>0</v>
      </c>
      <c r="AA24" s="325">
        <f>Z24*J24</f>
        <v>0</v>
      </c>
      <c r="AB24" s="337">
        <f>(('State &amp; Province Summary'!C23+'State &amp; Province Summary'!D23)*AA$15)</f>
        <v>2841086017.0179253</v>
      </c>
      <c r="AC24" s="338">
        <f>Z24*'State &amp; Province Summary'!I23</f>
        <v>0</v>
      </c>
      <c r="AD24" s="338">
        <f>AC24*J24</f>
        <v>0</v>
      </c>
      <c r="AF24" s="336">
        <f>'State &amp; Province Summary'!C69+'State &amp; Province Summary'!D72</f>
        <v>11655920</v>
      </c>
      <c r="AG24" s="325">
        <f>'Generation Load Imports'!D18*1000+'State &amp; Province Summary'!D69</f>
        <v>11909327</v>
      </c>
      <c r="AH24" s="325">
        <f>AG24+((AG24/CO24)*CP24)</f>
        <v>12152848.843349138</v>
      </c>
      <c r="AI24" s="325">
        <f>IF(AF24&gt;AH24,AF24-AH24,0)</f>
        <v>0</v>
      </c>
      <c r="AJ24" s="325">
        <f>AI24*J24</f>
        <v>0</v>
      </c>
      <c r="AK24" s="337">
        <f>'State &amp; Province Summary'!C26+'State &amp; Province Summary'!D26</f>
        <v>4665399228.2653961</v>
      </c>
      <c r="AL24" s="338">
        <f>AI24*'State &amp; Province Summary'!I26</f>
        <v>0</v>
      </c>
      <c r="AM24" s="338">
        <f>AL24*J24</f>
        <v>0</v>
      </c>
      <c r="AO24" s="336">
        <f>'State &amp; Province Summary'!C79+'State &amp; Province Summary'!D82</f>
        <v>5228319.0010000002</v>
      </c>
      <c r="AP24" s="325">
        <f>'Generation Load Imports'!E18*1000+'State &amp; Province Summary'!D79</f>
        <v>5710529</v>
      </c>
      <c r="AQ24" s="325">
        <f>AP24+((AP24/CO24)*CP24)</f>
        <v>5827297.8609590381</v>
      </c>
      <c r="AR24" s="325">
        <f>IF(AO24&gt;AQ24,AO24-AQ24,0)</f>
        <v>0</v>
      </c>
      <c r="AS24" s="325">
        <f>AR24*J24</f>
        <v>0</v>
      </c>
      <c r="AT24" s="337">
        <f>'State &amp; Province Summary'!C32+'State &amp; Province Summary'!D32</f>
        <v>22850484.527431242</v>
      </c>
      <c r="AU24" s="338">
        <f>AR24*'State &amp; Province Summary'!I32</f>
        <v>0</v>
      </c>
      <c r="AV24" s="338">
        <f>AU24*J24</f>
        <v>0</v>
      </c>
      <c r="AX24" s="336">
        <f>'State &amp; Province Summary'!C54+'State &amp; Province Summary'!D57</f>
        <v>46198466</v>
      </c>
      <c r="AY24" s="325">
        <f>'Generation Load Imports'!F18*1000+'State &amp; Province Summary'!D54</f>
        <v>29372856</v>
      </c>
      <c r="AZ24" s="325">
        <f>AY24+((AY24/CO24)*CP24)</f>
        <v>29973471.974147726</v>
      </c>
      <c r="BA24" s="325">
        <f>IF(AX24&gt;AZ24,AX24-AZ24,0)</f>
        <v>16224994.025852274</v>
      </c>
      <c r="BB24" s="325">
        <f>BA24*J24</f>
        <v>10951485.433108736</v>
      </c>
      <c r="BC24" s="337">
        <f>'State &amp; Province Summary'!C17+'State &amp; Province Summary'!D17</f>
        <v>21895334368.219852</v>
      </c>
      <c r="BD24" s="338">
        <f>BA24*'State &amp; Province Summary'!I17</f>
        <v>13652786247.508383</v>
      </c>
      <c r="BE24" s="338">
        <f>BD24*J24</f>
        <v>9215306302.8990154</v>
      </c>
      <c r="BG24" s="336">
        <f>'State &amp; Province Summary'!C74+'State &amp; Province Summary'!D77</f>
        <v>10012896</v>
      </c>
      <c r="BH24" s="325">
        <f>'Generation Load Imports'!G18*1000+'State &amp; Province Summary'!D74</f>
        <v>8088801</v>
      </c>
      <c r="BI24" s="325">
        <f>BH24+((BH24/CO24)*CP24)</f>
        <v>8254200.7518083397</v>
      </c>
      <c r="BJ24" s="325">
        <f>IF(BG24&gt;BI24,BG24-BI24,0)</f>
        <v>1758695.2481916603</v>
      </c>
      <c r="BK24" s="325">
        <f>BJ24*J24</f>
        <v>1187077.5028428279</v>
      </c>
      <c r="BL24" s="337">
        <f>'State &amp; Province Summary'!C29+'State &amp; Province Summary'!D29</f>
        <v>7578106994.4366837</v>
      </c>
      <c r="BM24" s="338">
        <f>BJ24*'State &amp; Province Summary'!I29</f>
        <v>1546568787.9389107</v>
      </c>
      <c r="BN24" s="338">
        <f>BM24*J24</f>
        <v>1043897182.6693124</v>
      </c>
      <c r="BO24" s="279"/>
      <c r="BQ24" s="277">
        <f>C14</f>
        <v>2021</v>
      </c>
      <c r="BR24" s="325">
        <f>'State &amp; Province Summary'!C84</f>
        <v>123081532.74100004</v>
      </c>
      <c r="BS24" s="339">
        <f>'State &amp; Province Summary'!C85+'State &amp; Province Summary'!D87</f>
        <v>-1430149</v>
      </c>
      <c r="BT24" s="325">
        <f>IF(BS24&gt;0,BS24,0)</f>
        <v>0</v>
      </c>
      <c r="BU24" s="325">
        <f>BT24*J24</f>
        <v>0</v>
      </c>
      <c r="BV24" s="337">
        <f>'State &amp; Province Summary'!C35+'State &amp; Province Summary'!D35</f>
        <v>59004711876.056587</v>
      </c>
      <c r="BW24" s="338">
        <f>BT24*(BV24/(BR24+'State &amp; Province Summary'!D87))</f>
        <v>0</v>
      </c>
      <c r="BX24" s="338">
        <f>BW24*J24</f>
        <v>0</v>
      </c>
      <c r="BZ24" s="325">
        <f>'State &amp; Province Summary'!C90+'State &amp; Province Summary'!D92</f>
        <v>2150866</v>
      </c>
      <c r="CA24" s="340">
        <f>IF(BZ24&gt;0,BZ24,0)</f>
        <v>2150866</v>
      </c>
      <c r="CB24" s="341">
        <f>CA24*J24</f>
        <v>1451783.4416479261</v>
      </c>
      <c r="CC24" s="338">
        <f>BZ24*(('State &amp; Province Summary'!C38+'State &amp; Province Summary'!D38)/(('State &amp; Province Summary'!C89+'State &amp; Province Summary'!D92)))</f>
        <v>1420899694.301162</v>
      </c>
      <c r="CD24" s="338">
        <f>J24*CC24</f>
        <v>959073530.58211291</v>
      </c>
      <c r="CF24" s="325">
        <f>'State &amp; Province Summary'!C95+'State &amp; Province Summary'!D97</f>
        <v>6483114</v>
      </c>
      <c r="CG24" s="340">
        <f>IF(CF24&gt;0,CF24,0)</f>
        <v>6483114</v>
      </c>
      <c r="CH24" s="341">
        <f>CG24*J24</f>
        <v>4375947.8998300461</v>
      </c>
      <c r="CI24" s="338">
        <f>CF24*(('State &amp; Province Summary'!C41+'State &amp; Province Summary'!D41)/('State &amp; Province Summary'!C94+'State &amp; Province Summary'!D97))</f>
        <v>18584938.351399668</v>
      </c>
      <c r="CJ24" s="338">
        <f>J24*CI24</f>
        <v>12544391.776433093</v>
      </c>
      <c r="CK24" s="279"/>
      <c r="CM24" s="277">
        <f>C14</f>
        <v>2021</v>
      </c>
      <c r="CN24" s="336">
        <f>'State &amp; Province Summary'!C99+'State &amp; Province Summary'!D102</f>
        <v>119931113.001</v>
      </c>
      <c r="CO24" s="325">
        <f>'Generation Load Imports'!B18*1000+'State &amp; Province Summary'!D99</f>
        <v>124587382</v>
      </c>
      <c r="CP24" s="342">
        <f>'Generation Load Imports'!F14*1000</f>
        <v>2547562.0009999983</v>
      </c>
      <c r="CQ24" s="342">
        <f>CO24+CP24</f>
        <v>127134944.001</v>
      </c>
      <c r="CR24" s="325">
        <f>CQ24-CN24</f>
        <v>7203831</v>
      </c>
      <c r="CS24" s="338">
        <f>G24+AB24+AK24+AT24+BC24+BL24+BW24+CC24+CI24</f>
        <v>54174318642.95578</v>
      </c>
      <c r="CT24" s="343">
        <f>CS24/CQ24</f>
        <v>426.11666736196196</v>
      </c>
      <c r="CU24" s="338">
        <f>CT24*F24</f>
        <v>24670166898.105038</v>
      </c>
      <c r="CV24" s="344"/>
      <c r="CY24" s="283"/>
      <c r="DP24" s="283"/>
      <c r="DQ24" s="283"/>
      <c r="DR24" s="283"/>
      <c r="DS24" s="345"/>
    </row>
    <row r="25" spans="1:123" ht="13.5" thickBot="1">
      <c r="B25" s="285"/>
      <c r="C25" s="346"/>
      <c r="D25" s="346"/>
      <c r="E25" s="346"/>
      <c r="F25" s="346"/>
      <c r="G25" s="347"/>
      <c r="H25" s="346"/>
      <c r="I25" s="346"/>
      <c r="J25" s="346"/>
      <c r="K25" s="346"/>
      <c r="L25" s="346"/>
      <c r="M25" s="346"/>
      <c r="N25" s="346"/>
      <c r="O25" s="346"/>
      <c r="P25" s="346"/>
      <c r="Q25" s="346"/>
      <c r="R25" s="346"/>
      <c r="S25" s="346"/>
      <c r="T25" s="286"/>
      <c r="V25" s="285"/>
      <c r="W25" s="346"/>
      <c r="X25" s="346"/>
      <c r="Y25" s="346"/>
      <c r="Z25" s="346"/>
      <c r="AA25" s="346"/>
      <c r="AB25" s="346"/>
      <c r="AC25" s="346"/>
      <c r="AD25" s="346"/>
      <c r="AE25" s="346"/>
      <c r="AF25" s="346"/>
      <c r="AG25" s="346"/>
      <c r="AH25" s="346"/>
      <c r="AI25" s="346"/>
      <c r="AJ25" s="346"/>
      <c r="AK25" s="346"/>
      <c r="AL25" s="346"/>
      <c r="AM25" s="346"/>
      <c r="AN25" s="346"/>
      <c r="AO25" s="346"/>
      <c r="AP25" s="346"/>
      <c r="AQ25" s="346"/>
      <c r="AR25" s="346"/>
      <c r="AS25" s="346"/>
      <c r="AT25" s="346"/>
      <c r="AU25" s="346"/>
      <c r="AV25" s="346"/>
      <c r="AW25" s="346"/>
      <c r="AX25" s="346"/>
      <c r="AY25" s="346"/>
      <c r="AZ25" s="346"/>
      <c r="BA25" s="346"/>
      <c r="BB25" s="346"/>
      <c r="BC25" s="346"/>
      <c r="BD25" s="346"/>
      <c r="BE25" s="650"/>
      <c r="BF25" s="346"/>
      <c r="BG25" s="346"/>
      <c r="BH25" s="346"/>
      <c r="BI25" s="346"/>
      <c r="BJ25" s="346"/>
      <c r="BK25" s="346"/>
      <c r="BL25" s="346"/>
      <c r="BM25" s="346"/>
      <c r="BN25" s="346"/>
      <c r="BO25" s="286"/>
      <c r="BQ25" s="285"/>
      <c r="BR25" s="348"/>
      <c r="BS25" s="346"/>
      <c r="BT25" s="346"/>
      <c r="BU25" s="346"/>
      <c r="BV25" s="346"/>
      <c r="BW25" s="346"/>
      <c r="BX25" s="346"/>
      <c r="BY25" s="346"/>
      <c r="BZ25" s="348"/>
      <c r="CA25" s="346"/>
      <c r="CB25" s="346"/>
      <c r="CC25" s="346"/>
      <c r="CD25" s="346"/>
      <c r="CE25" s="346"/>
      <c r="CF25" s="346"/>
      <c r="CG25" s="346"/>
      <c r="CH25" s="346"/>
      <c r="CI25" s="346"/>
      <c r="CJ25" s="346"/>
      <c r="CK25" s="286"/>
      <c r="CM25" s="285"/>
      <c r="CN25" s="346"/>
      <c r="CO25" s="346"/>
      <c r="CP25" s="346"/>
      <c r="CQ25" s="346"/>
      <c r="CR25" s="346"/>
      <c r="CS25" s="346"/>
      <c r="CT25" s="346"/>
      <c r="CU25" s="346"/>
      <c r="CV25" s="286"/>
      <c r="CY25" s="349"/>
    </row>
    <row r="26" spans="1:123" ht="15.75" customHeight="1">
      <c r="D26" s="283"/>
      <c r="F26" s="350"/>
      <c r="G26" s="350"/>
      <c r="H26" s="283"/>
      <c r="I26" s="283"/>
      <c r="J26" s="351"/>
      <c r="K26" s="283"/>
      <c r="L26" s="283"/>
      <c r="N26" s="283"/>
      <c r="P26" s="283"/>
      <c r="AA26" s="350"/>
      <c r="AB26" s="352"/>
      <c r="AC26" s="353"/>
      <c r="AI26" s="283"/>
      <c r="AK26" s="352"/>
      <c r="AL26" s="283"/>
      <c r="AM26" s="283"/>
      <c r="AO26" s="352"/>
      <c r="AP26" s="352"/>
      <c r="AQ26" s="352"/>
      <c r="AR26" s="352"/>
      <c r="AS26" s="352"/>
      <c r="AT26" s="352"/>
      <c r="AU26" s="352"/>
      <c r="AV26" s="352"/>
      <c r="BB26" s="283"/>
      <c r="BC26" s="352"/>
      <c r="BE26" s="283"/>
      <c r="BG26" s="283"/>
      <c r="BH26" s="283"/>
      <c r="BI26" s="283"/>
      <c r="BL26" s="352"/>
      <c r="BQ26" s="354"/>
      <c r="BR26" s="355"/>
      <c r="BS26" s="354"/>
      <c r="CY26" s="356"/>
      <c r="DA26" s="353"/>
    </row>
    <row r="27" spans="1:123" ht="15.75" customHeight="1" thickBot="1">
      <c r="AM27" s="283"/>
      <c r="BE27" s="283"/>
      <c r="BI27" s="283"/>
      <c r="BQ27" s="354"/>
      <c r="BR27" s="354"/>
      <c r="BS27" s="354"/>
      <c r="CY27" s="283"/>
      <c r="DA27" s="353"/>
    </row>
    <row r="28" spans="1:123" ht="15.75" customHeight="1">
      <c r="B28" s="288" t="s">
        <v>1550</v>
      </c>
      <c r="C28" s="289"/>
      <c r="D28" s="289"/>
      <c r="E28" s="289"/>
      <c r="F28" s="289"/>
      <c r="G28" s="290"/>
      <c r="H28" s="289"/>
      <c r="I28" s="289"/>
      <c r="J28" s="289"/>
      <c r="K28" s="289"/>
      <c r="L28" s="289"/>
      <c r="M28" s="289"/>
      <c r="N28" s="289"/>
      <c r="O28" s="289"/>
      <c r="P28" s="289"/>
      <c r="Q28" s="289"/>
      <c r="R28" s="289"/>
      <c r="S28" s="289"/>
      <c r="T28" s="292"/>
      <c r="V28" s="293" t="s">
        <v>344</v>
      </c>
      <c r="W28" s="289"/>
      <c r="X28" s="289"/>
      <c r="Y28" s="289"/>
      <c r="Z28" s="289"/>
      <c r="AA28" s="289"/>
      <c r="AB28" s="289"/>
      <c r="AC28" s="289"/>
      <c r="AD28" s="289"/>
      <c r="AE28" s="289"/>
      <c r="AF28" s="289"/>
      <c r="AG28" s="289"/>
      <c r="AH28" s="289"/>
      <c r="AI28" s="289"/>
      <c r="AJ28" s="289"/>
      <c r="AK28" s="289"/>
      <c r="AL28" s="289"/>
      <c r="AM28" s="289"/>
      <c r="AN28" s="289"/>
      <c r="AO28" s="289"/>
      <c r="AP28" s="289"/>
      <c r="AQ28" s="289"/>
      <c r="AR28" s="289"/>
      <c r="AS28" s="289"/>
      <c r="AT28" s="289"/>
      <c r="AU28" s="289"/>
      <c r="AV28" s="289"/>
      <c r="AW28" s="289"/>
      <c r="AX28" s="289"/>
      <c r="AY28" s="289"/>
      <c r="AZ28" s="289"/>
      <c r="BA28" s="289"/>
      <c r="BB28" s="289"/>
      <c r="BC28" s="289"/>
      <c r="BD28" s="289"/>
      <c r="BE28" s="289"/>
      <c r="BF28" s="289"/>
      <c r="BG28" s="289"/>
      <c r="BH28" s="289"/>
      <c r="BI28" s="289"/>
      <c r="BJ28" s="289"/>
      <c r="BK28" s="289"/>
      <c r="BL28" s="289"/>
      <c r="BM28" s="289"/>
      <c r="BN28" s="289"/>
      <c r="BO28" s="292"/>
      <c r="BQ28" s="293" t="s">
        <v>345</v>
      </c>
      <c r="BR28" s="289"/>
      <c r="BS28" s="289"/>
      <c r="BT28" s="289"/>
      <c r="BU28" s="289"/>
      <c r="BV28" s="289"/>
      <c r="BW28" s="289"/>
      <c r="BX28" s="289"/>
      <c r="BY28" s="289"/>
      <c r="BZ28" s="289"/>
      <c r="CA28" s="289"/>
      <c r="CB28" s="289"/>
      <c r="CC28" s="289"/>
      <c r="CD28" s="289"/>
      <c r="CE28" s="289"/>
      <c r="CF28" s="289"/>
      <c r="CG28" s="289"/>
      <c r="CH28" s="289"/>
      <c r="CI28" s="289"/>
      <c r="CJ28" s="289"/>
      <c r="CK28" s="292"/>
      <c r="CM28" s="293" t="s">
        <v>346</v>
      </c>
      <c r="CN28" s="289"/>
      <c r="CO28" s="289"/>
      <c r="CP28" s="289"/>
      <c r="CQ28" s="289"/>
      <c r="CR28" s="289"/>
      <c r="CS28" s="289"/>
      <c r="CT28" s="289"/>
      <c r="CU28" s="289"/>
      <c r="CV28" s="292"/>
      <c r="DA28" s="353"/>
    </row>
    <row r="29" spans="1:123" ht="15.75" customHeight="1" thickBot="1">
      <c r="B29" s="277"/>
      <c r="T29" s="279"/>
      <c r="V29" s="294" t="s">
        <v>194</v>
      </c>
      <c r="BO29" s="279"/>
      <c r="BQ29" s="294" t="s">
        <v>194</v>
      </c>
      <c r="BY29" s="92" t="s">
        <v>367</v>
      </c>
      <c r="CK29" s="279"/>
      <c r="CM29" s="277"/>
      <c r="CV29" s="279"/>
      <c r="DA29" s="353"/>
    </row>
    <row r="30" spans="1:123" ht="15.75" customHeight="1">
      <c r="B30" s="277"/>
      <c r="D30" s="756" t="s">
        <v>348</v>
      </c>
      <c r="E30" s="777"/>
      <c r="F30" s="777"/>
      <c r="G30" s="757"/>
      <c r="H30" s="754" t="s">
        <v>349</v>
      </c>
      <c r="I30" s="756" t="s">
        <v>350</v>
      </c>
      <c r="J30" s="757"/>
      <c r="K30" s="756" t="s">
        <v>351</v>
      </c>
      <c r="L30" s="777"/>
      <c r="M30" s="757"/>
      <c r="N30" s="754" t="s">
        <v>193</v>
      </c>
      <c r="O30" s="756" t="s">
        <v>353</v>
      </c>
      <c r="P30" s="777"/>
      <c r="Q30" s="757"/>
      <c r="R30" s="754" t="s">
        <v>368</v>
      </c>
      <c r="S30" s="754" t="s">
        <v>369</v>
      </c>
      <c r="T30" s="754" t="s">
        <v>197</v>
      </c>
      <c r="U30" s="357"/>
      <c r="V30" s="277"/>
      <c r="BO30" s="279"/>
      <c r="BQ30" s="277"/>
      <c r="CK30" s="279"/>
      <c r="CM30" s="277"/>
      <c r="CV30" s="279"/>
      <c r="DA30" s="353"/>
    </row>
    <row r="31" spans="1:123" ht="30.75" customHeight="1" thickBot="1">
      <c r="B31" s="277"/>
      <c r="D31" s="758"/>
      <c r="E31" s="778"/>
      <c r="F31" s="778"/>
      <c r="G31" s="759"/>
      <c r="H31" s="755"/>
      <c r="I31" s="758"/>
      <c r="J31" s="759"/>
      <c r="K31" s="758"/>
      <c r="L31" s="778"/>
      <c r="M31" s="759"/>
      <c r="N31" s="755"/>
      <c r="O31" s="758"/>
      <c r="P31" s="778"/>
      <c r="Q31" s="759"/>
      <c r="R31" s="755"/>
      <c r="S31" s="755"/>
      <c r="T31" s="755"/>
      <c r="U31" s="357"/>
      <c r="V31" s="277"/>
      <c r="W31" s="296" t="s">
        <v>90</v>
      </c>
      <c r="X31" s="263"/>
      <c r="Y31" s="263"/>
      <c r="Z31" s="263"/>
      <c r="AA31" s="263"/>
      <c r="AB31" s="358"/>
      <c r="AC31" s="263"/>
      <c r="AD31" s="263"/>
      <c r="AF31" s="296" t="s">
        <v>96</v>
      </c>
      <c r="AG31" s="263"/>
      <c r="AH31" s="263"/>
      <c r="AI31" s="263"/>
      <c r="AJ31" s="263"/>
      <c r="AK31" s="263"/>
      <c r="AL31" s="263"/>
      <c r="AM31" s="263"/>
      <c r="AO31" s="296" t="s">
        <v>355</v>
      </c>
      <c r="AP31" s="263"/>
      <c r="AQ31" s="263"/>
      <c r="AR31" s="263"/>
      <c r="AS31" s="263"/>
      <c r="AT31" s="263"/>
      <c r="AU31" s="263"/>
      <c r="AV31" s="263"/>
      <c r="AX31" s="296" t="s">
        <v>41</v>
      </c>
      <c r="AY31" s="263"/>
      <c r="AZ31" s="263"/>
      <c r="BA31" s="263"/>
      <c r="BB31" s="263"/>
      <c r="BC31" s="263"/>
      <c r="BD31" s="263"/>
      <c r="BE31" s="263"/>
      <c r="BG31" s="296" t="s">
        <v>131</v>
      </c>
      <c r="BH31" s="263"/>
      <c r="BI31" s="263"/>
      <c r="BJ31" s="263"/>
      <c r="BK31" s="263"/>
      <c r="BL31" s="263"/>
      <c r="BM31" s="263"/>
      <c r="BN31" s="263"/>
      <c r="BO31" s="279"/>
      <c r="BQ31" s="277"/>
      <c r="BR31" s="296" t="s">
        <v>57</v>
      </c>
      <c r="BS31" s="263"/>
      <c r="BT31" s="263"/>
      <c r="BU31" s="263"/>
      <c r="BV31" s="296"/>
      <c r="BW31" s="296"/>
      <c r="BX31" s="263"/>
      <c r="BZ31" s="296" t="s">
        <v>229</v>
      </c>
      <c r="CA31" s="296"/>
      <c r="CB31" s="263"/>
      <c r="CC31" s="263"/>
      <c r="CD31" s="263"/>
      <c r="CF31" s="296" t="s">
        <v>228</v>
      </c>
      <c r="CG31" s="296"/>
      <c r="CH31" s="263"/>
      <c r="CI31" s="263"/>
      <c r="CJ31" s="263"/>
      <c r="CK31" s="279"/>
      <c r="CM31" s="277"/>
      <c r="CN31" s="297" t="s">
        <v>357</v>
      </c>
      <c r="CO31" s="298"/>
      <c r="CP31" s="299"/>
      <c r="CQ31" s="299"/>
      <c r="CR31" s="299"/>
      <c r="CS31" s="299"/>
      <c r="CT31" s="299"/>
      <c r="CU31" s="300"/>
      <c r="CV31" s="301"/>
      <c r="DA31" s="353"/>
    </row>
    <row r="32" spans="1:123" ht="76.5" customHeight="1">
      <c r="B32" s="277"/>
      <c r="C32" s="303" t="s">
        <v>370</v>
      </c>
      <c r="D32" s="304" t="s">
        <v>3358</v>
      </c>
      <c r="E32" s="305" t="s">
        <v>2673</v>
      </c>
      <c r="F32" s="306" t="s">
        <v>2689</v>
      </c>
      <c r="G32" s="307" t="s">
        <v>2690</v>
      </c>
      <c r="H32" s="308" t="s">
        <v>2675</v>
      </c>
      <c r="I32" s="304" t="s">
        <v>2676</v>
      </c>
      <c r="J32" s="307" t="s">
        <v>358</v>
      </c>
      <c r="K32" s="304" t="s">
        <v>359</v>
      </c>
      <c r="L32" s="305" t="s">
        <v>360</v>
      </c>
      <c r="M32" s="307" t="s">
        <v>361</v>
      </c>
      <c r="N32" s="304" t="s">
        <v>2691</v>
      </c>
      <c r="O32" s="304" t="s">
        <v>2692</v>
      </c>
      <c r="P32" s="305" t="s">
        <v>2693</v>
      </c>
      <c r="Q32" s="307" t="s">
        <v>2694</v>
      </c>
      <c r="R32" s="312" t="s">
        <v>2695</v>
      </c>
      <c r="S32" s="303" t="s">
        <v>2682</v>
      </c>
      <c r="T32" s="313" t="s">
        <v>2696</v>
      </c>
      <c r="V32" s="314"/>
      <c r="W32" s="315" t="s">
        <v>2701</v>
      </c>
      <c r="X32" s="315" t="s">
        <v>2702</v>
      </c>
      <c r="Y32" s="316" t="s">
        <v>2703</v>
      </c>
      <c r="Z32" s="315" t="s">
        <v>2704</v>
      </c>
      <c r="AA32" s="315" t="s">
        <v>362</v>
      </c>
      <c r="AB32" s="315" t="s">
        <v>2705</v>
      </c>
      <c r="AC32" s="315" t="s">
        <v>2706</v>
      </c>
      <c r="AD32" s="315" t="s">
        <v>2564</v>
      </c>
      <c r="AE32" s="316"/>
      <c r="AF32" s="315" t="s">
        <v>2701</v>
      </c>
      <c r="AG32" s="315" t="s">
        <v>2702</v>
      </c>
      <c r="AH32" s="316" t="s">
        <v>2703</v>
      </c>
      <c r="AI32" s="315" t="s">
        <v>2704</v>
      </c>
      <c r="AJ32" s="315" t="s">
        <v>362</v>
      </c>
      <c r="AK32" s="315" t="s">
        <v>2705</v>
      </c>
      <c r="AL32" s="315" t="s">
        <v>2706</v>
      </c>
      <c r="AM32" s="315" t="s">
        <v>2564</v>
      </c>
      <c r="AN32" s="316"/>
      <c r="AO32" s="315" t="s">
        <v>2701</v>
      </c>
      <c r="AP32" s="315" t="s">
        <v>2702</v>
      </c>
      <c r="AQ32" s="316" t="s">
        <v>2703</v>
      </c>
      <c r="AR32" s="315" t="s">
        <v>2704</v>
      </c>
      <c r="AS32" s="315" t="s">
        <v>362</v>
      </c>
      <c r="AT32" s="315" t="s">
        <v>2705</v>
      </c>
      <c r="AU32" s="315" t="s">
        <v>2706</v>
      </c>
      <c r="AV32" s="315" t="s">
        <v>2564</v>
      </c>
      <c r="AW32" s="316"/>
      <c r="AX32" s="315" t="s">
        <v>2701</v>
      </c>
      <c r="AY32" s="315" t="s">
        <v>2702</v>
      </c>
      <c r="AZ32" s="316" t="s">
        <v>2703</v>
      </c>
      <c r="BA32" s="315" t="s">
        <v>2704</v>
      </c>
      <c r="BB32" s="315" t="s">
        <v>362</v>
      </c>
      <c r="BC32" s="315" t="s">
        <v>2705</v>
      </c>
      <c r="BD32" s="315" t="s">
        <v>2706</v>
      </c>
      <c r="BE32" s="315" t="s">
        <v>2564</v>
      </c>
      <c r="BF32" s="316"/>
      <c r="BG32" s="315" t="s">
        <v>2701</v>
      </c>
      <c r="BH32" s="315" t="s">
        <v>2702</v>
      </c>
      <c r="BI32" s="316" t="s">
        <v>2703</v>
      </c>
      <c r="BJ32" s="315" t="s">
        <v>2704</v>
      </c>
      <c r="BK32" s="315" t="s">
        <v>362</v>
      </c>
      <c r="BL32" s="315" t="s">
        <v>2705</v>
      </c>
      <c r="BM32" s="315" t="s">
        <v>2706</v>
      </c>
      <c r="BN32" s="315" t="s">
        <v>2564</v>
      </c>
      <c r="BO32" s="279"/>
      <c r="BQ32" s="277"/>
      <c r="BR32" s="317" t="s">
        <v>363</v>
      </c>
      <c r="BS32" s="315" t="s">
        <v>2707</v>
      </c>
      <c r="BT32" s="315" t="s">
        <v>2708</v>
      </c>
      <c r="BU32" s="315" t="s">
        <v>364</v>
      </c>
      <c r="BV32" s="315" t="s">
        <v>2709</v>
      </c>
      <c r="BW32" s="315" t="s">
        <v>2706</v>
      </c>
      <c r="BX32" s="315" t="s">
        <v>2564</v>
      </c>
      <c r="BZ32" s="315" t="s">
        <v>2707</v>
      </c>
      <c r="CA32" s="315" t="s">
        <v>2708</v>
      </c>
      <c r="CB32" s="315" t="s">
        <v>362</v>
      </c>
      <c r="CC32" s="315" t="s">
        <v>2706</v>
      </c>
      <c r="CD32" s="315" t="s">
        <v>2564</v>
      </c>
      <c r="CF32" s="315" t="s">
        <v>2707</v>
      </c>
      <c r="CG32" s="315" t="s">
        <v>2708</v>
      </c>
      <c r="CH32" s="315" t="s">
        <v>362</v>
      </c>
      <c r="CI32" s="315" t="s">
        <v>2711</v>
      </c>
      <c r="CJ32" s="315" t="s">
        <v>2564</v>
      </c>
      <c r="CK32" s="279"/>
      <c r="CM32" s="277"/>
      <c r="CN32" s="318" t="s">
        <v>2712</v>
      </c>
      <c r="CO32" s="318" t="s">
        <v>2713</v>
      </c>
      <c r="CP32" s="318" t="s">
        <v>365</v>
      </c>
      <c r="CQ32" s="318" t="s">
        <v>2714</v>
      </c>
      <c r="CR32" s="317" t="s">
        <v>366</v>
      </c>
      <c r="CS32" s="318" t="s">
        <v>2715</v>
      </c>
      <c r="CT32" s="319" t="s">
        <v>2717</v>
      </c>
      <c r="CU32" s="315" t="s">
        <v>192</v>
      </c>
      <c r="CV32" s="320"/>
      <c r="DA32" s="353"/>
    </row>
    <row r="33" spans="2:105" ht="15.75" customHeight="1" thickBot="1">
      <c r="B33" s="321"/>
      <c r="C33" s="322">
        <f>C24</f>
        <v>2021</v>
      </c>
      <c r="D33" s="323">
        <f>D24</f>
        <v>39929040</v>
      </c>
      <c r="E33" s="324">
        <f>E24</f>
        <v>56735213</v>
      </c>
      <c r="F33" s="324">
        <f>F24</f>
        <v>57895334.277429536</v>
      </c>
      <c r="G33" s="326">
        <f>'State &amp; Province Summary'!C21+'State &amp; Province Summary'!D21</f>
        <v>4082689491.744946</v>
      </c>
      <c r="H33" s="359">
        <f>H24</f>
        <v>17966294.277429536</v>
      </c>
      <c r="I33" s="324">
        <f>SUM(IF(H33&gt;0,H33,0),(IF(W33&lt;Y33,Y33-W33,0)),(IF(AF33&lt;AH33,AH33-AF33,0)),(IF(AO33&lt;AQ33,AQ33-AO33,0)),(IF(AX33&lt;AZ33,AZ33-AX33,0)),(IF(BG33&lt;BI33,BI33-BG33,0)),(IF(BS33&lt;0,(BS33*-1),0)),(IF(BZ33&lt;0,(BZ33*-1),0)),(IF(CF33&lt;0,(CF33*-1),0)))</f>
        <v>26617669.274043933</v>
      </c>
      <c r="J33" s="360">
        <f>IF(H33&gt;0,H33/I33,0)</f>
        <v>0.67497623824446806</v>
      </c>
      <c r="K33" s="323">
        <f>SUM(AA33,AJ33,AS33,BB33,BK33)</f>
        <v>12138562.935951564</v>
      </c>
      <c r="L33" s="324">
        <f>SUM(BU33,CB33,CH33)</f>
        <v>5827731.3414779725</v>
      </c>
      <c r="M33" s="329">
        <f>K33+L33</f>
        <v>17966294.277429536</v>
      </c>
      <c r="N33" s="330">
        <f>SUM(AD33,AM33,AV33,BE33,BN33)</f>
        <v>451384.72263606143</v>
      </c>
      <c r="O33" s="331">
        <f>BX33</f>
        <v>0</v>
      </c>
      <c r="P33" s="331">
        <f>SUM(CD33+CJ33)</f>
        <v>55648162.084048264</v>
      </c>
      <c r="Q33" s="332">
        <f>O33+P33</f>
        <v>55648162.084048264</v>
      </c>
      <c r="R33" s="333">
        <f>N33+Q33+(IF(H33&lt;0,G33*H33/D33,0))</f>
        <v>56099546.806684323</v>
      </c>
      <c r="S33" s="334">
        <f>G33+R33</f>
        <v>4138789038.5516305</v>
      </c>
      <c r="T33" s="335">
        <f>S33/F33</f>
        <v>71.487436599275924</v>
      </c>
      <c r="V33" s="277">
        <f>C14</f>
        <v>2021</v>
      </c>
      <c r="W33" s="336">
        <f>W24</f>
        <v>6906472</v>
      </c>
      <c r="X33" s="325">
        <f>X24</f>
        <v>12770656</v>
      </c>
      <c r="Y33" s="325">
        <f>Y24</f>
        <v>13031790.293306224</v>
      </c>
      <c r="Z33" s="325">
        <f>IF(W33&gt;Y33,W33-Y33,0)</f>
        <v>0</v>
      </c>
      <c r="AA33" s="325">
        <f>Z33*J33</f>
        <v>0</v>
      </c>
      <c r="AB33" s="337">
        <f>(('State &amp; Province Summary'!C24+'State &amp; Province Summary'!D24)*AA$15)</f>
        <v>848618174.3650192</v>
      </c>
      <c r="AC33" s="337">
        <f>Z33*'State &amp; Province Summary'!I24</f>
        <v>0</v>
      </c>
      <c r="AD33" s="337">
        <f>AC33*J33</f>
        <v>0</v>
      </c>
      <c r="AF33" s="336">
        <f>AF24</f>
        <v>11655920</v>
      </c>
      <c r="AG33" s="325">
        <f>AG24</f>
        <v>11909327</v>
      </c>
      <c r="AH33" s="325">
        <f>AH24</f>
        <v>12152848.843349138</v>
      </c>
      <c r="AI33" s="325">
        <f>IF(AF33&gt;AH33,AF33-AH33,0)</f>
        <v>0</v>
      </c>
      <c r="AJ33" s="325">
        <f>AI33*J33</f>
        <v>0</v>
      </c>
      <c r="AK33" s="337">
        <f>'State &amp; Province Summary'!C27+'State &amp; Province Summary'!D27</f>
        <v>1379719816.181591</v>
      </c>
      <c r="AL33" s="337">
        <f>AI33*'State &amp; Province Summary'!I27</f>
        <v>0</v>
      </c>
      <c r="AM33" s="337">
        <f>AL33*J33</f>
        <v>0</v>
      </c>
      <c r="AN33" s="277"/>
      <c r="AO33" s="336">
        <f>AO24</f>
        <v>5228319.0010000002</v>
      </c>
      <c r="AP33" s="325">
        <f>AP24</f>
        <v>5710529</v>
      </c>
      <c r="AQ33" s="325">
        <f>AQ24</f>
        <v>5827297.8609590381</v>
      </c>
      <c r="AR33" s="325">
        <f>IF(AO33&gt;AQ33,AO33-AQ33,0)</f>
        <v>0</v>
      </c>
      <c r="AS33" s="325">
        <f>AR33*J33</f>
        <v>0</v>
      </c>
      <c r="AT33" s="337">
        <f>'State &amp; Province Summary'!C33+'State &amp; Province Summary'!D33</f>
        <v>264677813.13281083</v>
      </c>
      <c r="AU33" s="337">
        <f>AR33*'State &amp; Province Summary'!I33</f>
        <v>0</v>
      </c>
      <c r="AV33" s="337">
        <f>AU33*J33</f>
        <v>0</v>
      </c>
      <c r="AX33" s="336">
        <f>AX24</f>
        <v>46198466</v>
      </c>
      <c r="AY33" s="325">
        <f>AY24</f>
        <v>29372856</v>
      </c>
      <c r="AZ33" s="325">
        <f>AZ24</f>
        <v>29973471.974147726</v>
      </c>
      <c r="BA33" s="325">
        <f>IF(AX33&gt;AZ33,AX33-AZ33,0)</f>
        <v>16224994.025852274</v>
      </c>
      <c r="BB33" s="325">
        <f>BA33*J33</f>
        <v>10951485.433108736</v>
      </c>
      <c r="BC33" s="337">
        <f>'State &amp; Province Summary'!C18+'State &amp; Province Summary'!D18</f>
        <v>8614057371.8923912</v>
      </c>
      <c r="BD33" s="337">
        <f>BA33*'State &amp; Province Summary'!I18</f>
        <v>0</v>
      </c>
      <c r="BE33" s="337">
        <f>BD33*J33</f>
        <v>0</v>
      </c>
      <c r="BG33" s="336">
        <f>BG24</f>
        <v>10012896</v>
      </c>
      <c r="BH33" s="325">
        <f>BH24</f>
        <v>8088801</v>
      </c>
      <c r="BI33" s="325">
        <f>BI24</f>
        <v>8254200.7518083397</v>
      </c>
      <c r="BJ33" s="325">
        <f>IF(BG33&gt;BI33,BG33-BI33,0)</f>
        <v>1758695.2481916603</v>
      </c>
      <c r="BK33" s="325">
        <f>BJ33*J33</f>
        <v>1187077.5028428279</v>
      </c>
      <c r="BL33" s="337">
        <f>'State &amp; Province Summary'!C30+'State &amp; Province Summary'!D30</f>
        <v>785414957.59096038</v>
      </c>
      <c r="BM33" s="337">
        <f>BJ33*'State &amp; Province Summary'!I30</f>
        <v>668741.64905428188</v>
      </c>
      <c r="BN33" s="337">
        <f>BM33*J33</f>
        <v>451384.72263606143</v>
      </c>
      <c r="BO33" s="279"/>
      <c r="BQ33" s="277">
        <f>C14</f>
        <v>2021</v>
      </c>
      <c r="BR33" s="325">
        <f>BR24</f>
        <v>123081532.74100004</v>
      </c>
      <c r="BS33" s="325">
        <f>BS24</f>
        <v>-1430149</v>
      </c>
      <c r="BT33" s="325">
        <f>IF(BS33&gt;0,BS33,0)</f>
        <v>0</v>
      </c>
      <c r="BU33" s="325">
        <f>BT33*J33</f>
        <v>0</v>
      </c>
      <c r="BV33" s="337">
        <f>'State &amp; Province Summary'!C36+'State &amp; Province Summary'!D36</f>
        <v>3211158403.4923816</v>
      </c>
      <c r="BW33" s="338">
        <f>BT33*(BV33/(BR33+'State &amp; Province Summary'!D87))</f>
        <v>0</v>
      </c>
      <c r="BX33" s="337">
        <f>BW33*J33</f>
        <v>0</v>
      </c>
      <c r="BZ33" s="325">
        <f>BZ24</f>
        <v>2150866</v>
      </c>
      <c r="CA33" s="340">
        <f>IF(BZ33&gt;0,BZ33,0)</f>
        <v>2150866</v>
      </c>
      <c r="CB33" s="341">
        <f>CA33*J33</f>
        <v>1451783.4416479261</v>
      </c>
      <c r="CC33" s="338">
        <f>BZ33*(('State &amp; Province Summary'!C39+'State &amp; Province Summary'!D39)/(('State &amp; Province Summary'!C89+'State &amp; Province Summary'!D92)))</f>
        <v>0</v>
      </c>
      <c r="CD33" s="338">
        <f>J33*CC33</f>
        <v>0</v>
      </c>
      <c r="CF33" s="325">
        <f>CF24</f>
        <v>6483114</v>
      </c>
      <c r="CG33" s="340">
        <f>IF(CF33&gt;0,CF33,0)</f>
        <v>6483114</v>
      </c>
      <c r="CH33" s="341">
        <f>CG33*J33</f>
        <v>4375947.8998300461</v>
      </c>
      <c r="CI33" s="338">
        <f>CF33*(('State &amp; Province Summary'!C42+'State &amp; Province Summary'!D42)/('State &amp; Province Summary'!C94+'State &amp; Province Summary'!D97))</f>
        <v>82444623.871178687</v>
      </c>
      <c r="CJ33" s="338">
        <f>J33*CI33</f>
        <v>55648162.084048264</v>
      </c>
      <c r="CK33" s="279"/>
      <c r="CM33" s="277">
        <f>C14</f>
        <v>2021</v>
      </c>
      <c r="CN33" s="336">
        <f>CN24</f>
        <v>119931113.001</v>
      </c>
      <c r="CO33" s="325">
        <f>CO24</f>
        <v>124587382</v>
      </c>
      <c r="CP33" s="342">
        <f>CP24</f>
        <v>2547562.0009999983</v>
      </c>
      <c r="CQ33" s="342">
        <f>CO33+CP33</f>
        <v>127134944.001</v>
      </c>
      <c r="CR33" s="325">
        <f>CQ33-CN33</f>
        <v>7203831</v>
      </c>
      <c r="CS33" s="338">
        <f>G33+AB33+AK33+AT33+BC33+BL33+BW33+CC33+CI33</f>
        <v>16057622248.778896</v>
      </c>
      <c r="CT33" s="343">
        <f>CS33/CQ33</f>
        <v>126.30376624582925</v>
      </c>
      <c r="CU33" s="338">
        <f>CT33*F33</f>
        <v>7312398767.3006058</v>
      </c>
      <c r="CV33" s="344"/>
      <c r="DA33" s="353"/>
    </row>
    <row r="34" spans="2:105" ht="15.75" customHeight="1" thickBot="1">
      <c r="B34" s="285"/>
      <c r="C34" s="361"/>
      <c r="D34" s="362"/>
      <c r="E34" s="346"/>
      <c r="F34" s="363"/>
      <c r="G34" s="364"/>
      <c r="H34" s="365"/>
      <c r="I34" s="346"/>
      <c r="J34" s="346"/>
      <c r="K34" s="346"/>
      <c r="L34" s="346"/>
      <c r="M34" s="346"/>
      <c r="N34" s="346"/>
      <c r="O34" s="346"/>
      <c r="P34" s="346"/>
      <c r="Q34" s="346"/>
      <c r="R34" s="346"/>
      <c r="S34" s="346"/>
      <c r="T34" s="286"/>
      <c r="V34" s="285"/>
      <c r="W34" s="346"/>
      <c r="X34" s="346"/>
      <c r="Y34" s="346"/>
      <c r="Z34" s="346"/>
      <c r="AA34" s="346"/>
      <c r="AB34" s="346"/>
      <c r="AC34" s="346"/>
      <c r="AD34" s="346"/>
      <c r="AE34" s="346"/>
      <c r="AF34" s="346"/>
      <c r="AG34" s="346"/>
      <c r="AH34" s="346"/>
      <c r="AI34" s="346"/>
      <c r="AJ34" s="346"/>
      <c r="AK34" s="346"/>
      <c r="AL34" s="346"/>
      <c r="AM34" s="346"/>
      <c r="AN34" s="346"/>
      <c r="AO34" s="346"/>
      <c r="AP34" s="346"/>
      <c r="AQ34" s="346"/>
      <c r="AR34" s="346"/>
      <c r="AS34" s="346"/>
      <c r="AT34" s="346"/>
      <c r="AU34" s="346"/>
      <c r="AV34" s="346"/>
      <c r="AW34" s="346"/>
      <c r="AX34" s="346"/>
      <c r="AY34" s="346"/>
      <c r="AZ34" s="346"/>
      <c r="BA34" s="346"/>
      <c r="BB34" s="346"/>
      <c r="BC34" s="346"/>
      <c r="BD34" s="346"/>
      <c r="BE34" s="346"/>
      <c r="BF34" s="346"/>
      <c r="BG34" s="346"/>
      <c r="BH34" s="346"/>
      <c r="BI34" s="346"/>
      <c r="BJ34" s="346"/>
      <c r="BK34" s="346"/>
      <c r="BL34" s="346"/>
      <c r="BM34" s="346"/>
      <c r="BN34" s="346"/>
      <c r="BO34" s="286"/>
      <c r="BQ34" s="285"/>
      <c r="BR34" s="346"/>
      <c r="BS34" s="346"/>
      <c r="BT34" s="346"/>
      <c r="BU34" s="346"/>
      <c r="BV34" s="346"/>
      <c r="BW34" s="346"/>
      <c r="BX34" s="346"/>
      <c r="BY34" s="346"/>
      <c r="BZ34" s="348"/>
      <c r="CA34" s="346"/>
      <c r="CB34" s="346"/>
      <c r="CC34" s="346"/>
      <c r="CD34" s="346"/>
      <c r="CE34" s="346"/>
      <c r="CF34" s="346"/>
      <c r="CG34" s="346"/>
      <c r="CH34" s="346"/>
      <c r="CI34" s="346"/>
      <c r="CJ34" s="346"/>
      <c r="CK34" s="286"/>
      <c r="CM34" s="285"/>
      <c r="CN34" s="346"/>
      <c r="CO34" s="346"/>
      <c r="CP34" s="346"/>
      <c r="CQ34" s="346"/>
      <c r="CR34" s="346"/>
      <c r="CS34" s="346"/>
      <c r="CT34" s="346"/>
      <c r="CU34" s="346"/>
      <c r="CV34" s="286"/>
      <c r="DA34" s="353"/>
    </row>
    <row r="35" spans="2:105">
      <c r="AB35" s="352"/>
      <c r="AK35" s="352"/>
      <c r="AM35" s="283"/>
      <c r="AT35" s="352"/>
      <c r="BC35" s="352"/>
      <c r="BE35" s="283"/>
      <c r="BL35" s="352"/>
    </row>
    <row r="36" spans="2:105">
      <c r="AB36" s="352"/>
      <c r="AK36" s="352"/>
      <c r="AM36" s="283"/>
      <c r="AT36" s="352"/>
      <c r="BC36" s="352"/>
      <c r="BE36" s="283"/>
      <c r="BL36" s="352"/>
    </row>
    <row r="37" spans="2:105">
      <c r="AB37" s="352"/>
      <c r="AK37" s="352"/>
      <c r="AM37" s="283"/>
      <c r="AT37" s="352"/>
      <c r="BC37" s="352"/>
      <c r="BE37" s="283"/>
      <c r="BL37" s="352"/>
    </row>
    <row r="38" spans="2:105">
      <c r="AB38" s="352"/>
      <c r="AK38" s="352"/>
      <c r="AM38" s="283"/>
      <c r="AT38" s="352"/>
      <c r="BC38" s="352"/>
      <c r="BE38" s="283"/>
      <c r="BL38" s="352"/>
    </row>
    <row r="39" spans="2:105">
      <c r="N39" s="366"/>
      <c r="AB39" s="352"/>
      <c r="AK39" s="352"/>
      <c r="AM39" s="283"/>
      <c r="AT39" s="352"/>
      <c r="BC39" s="352"/>
      <c r="BE39" s="283"/>
      <c r="BL39" s="352"/>
    </row>
    <row r="40" spans="2:105">
      <c r="D40" s="366"/>
      <c r="E40" s="267"/>
      <c r="F40" s="276"/>
      <c r="G40" s="367"/>
      <c r="H40" s="368"/>
      <c r="J40" s="366"/>
      <c r="K40" s="369"/>
      <c r="L40" s="126"/>
      <c r="N40" s="366"/>
      <c r="O40" s="369"/>
      <c r="P40" s="126"/>
      <c r="AM40" s="283"/>
      <c r="BC40" s="283"/>
      <c r="BE40" s="283"/>
    </row>
    <row r="41" spans="2:105">
      <c r="D41" s="366"/>
      <c r="E41" s="267"/>
      <c r="F41" s="276"/>
      <c r="G41" s="367"/>
      <c r="H41" s="368"/>
      <c r="J41" s="366"/>
      <c r="K41" s="369"/>
      <c r="L41" s="126"/>
      <c r="N41" s="366"/>
      <c r="O41" s="369"/>
      <c r="P41" s="126"/>
      <c r="AM41" s="283"/>
      <c r="BC41" s="283"/>
      <c r="BE41" s="283"/>
    </row>
    <row r="42" spans="2:105">
      <c r="D42" s="366"/>
      <c r="E42" s="267"/>
      <c r="F42" s="276"/>
      <c r="G42" s="367"/>
      <c r="H42" s="368"/>
      <c r="J42" s="366"/>
      <c r="K42" s="369"/>
      <c r="L42" s="126"/>
      <c r="N42" s="366"/>
      <c r="O42" s="369"/>
      <c r="P42" s="126"/>
      <c r="AM42" s="283"/>
      <c r="BC42" s="283"/>
      <c r="BE42" s="283"/>
    </row>
    <row r="43" spans="2:105" ht="55.5" customHeight="1">
      <c r="D43" s="370"/>
      <c r="E43" s="370"/>
      <c r="F43" s="370"/>
      <c r="G43" s="370"/>
      <c r="H43" s="370"/>
      <c r="J43" s="370"/>
      <c r="K43" s="371"/>
      <c r="L43" s="370"/>
      <c r="N43" s="370"/>
      <c r="O43" s="370"/>
      <c r="P43" s="370"/>
      <c r="Q43" s="370"/>
      <c r="R43" s="371"/>
      <c r="S43" s="371"/>
      <c r="T43" s="371"/>
      <c r="U43" s="371"/>
      <c r="V43" s="371"/>
    </row>
    <row r="44" spans="2:105">
      <c r="D44" s="370"/>
      <c r="E44" s="372"/>
      <c r="F44" s="372"/>
      <c r="G44" s="372"/>
      <c r="H44" s="372"/>
      <c r="J44" s="275"/>
      <c r="K44" s="372"/>
      <c r="L44" s="372"/>
      <c r="N44" s="275"/>
      <c r="O44" s="372"/>
      <c r="P44" s="372"/>
      <c r="Q44" s="372"/>
      <c r="R44" s="372"/>
      <c r="S44" s="372"/>
      <c r="T44" s="372"/>
      <c r="U44" s="350"/>
      <c r="V44" s="350"/>
    </row>
    <row r="45" spans="2:105" ht="14.25" customHeight="1">
      <c r="D45" s="370"/>
      <c r="E45" s="372"/>
      <c r="F45" s="372"/>
      <c r="G45" s="372"/>
      <c r="H45" s="372"/>
      <c r="J45" s="275"/>
      <c r="K45" s="372"/>
      <c r="L45" s="372"/>
      <c r="N45" s="275"/>
      <c r="O45" s="372"/>
      <c r="P45" s="372"/>
      <c r="Q45" s="372"/>
      <c r="R45" s="372"/>
      <c r="S45" s="372"/>
      <c r="T45" s="372"/>
      <c r="U45" s="350"/>
      <c r="V45" s="350"/>
    </row>
    <row r="46" spans="2:105">
      <c r="D46" s="370"/>
      <c r="E46" s="372"/>
      <c r="F46" s="372"/>
      <c r="G46" s="372"/>
      <c r="H46" s="372"/>
      <c r="J46" s="275"/>
      <c r="K46" s="372"/>
      <c r="L46" s="372"/>
      <c r="N46" s="275"/>
      <c r="O46" s="372"/>
      <c r="P46" s="372"/>
      <c r="Q46" s="372"/>
      <c r="R46" s="372"/>
      <c r="S46" s="372"/>
      <c r="T46" s="372"/>
      <c r="U46" s="350"/>
      <c r="V46" s="350"/>
      <c r="AG46" s="283"/>
      <c r="AH46" s="283"/>
    </row>
    <row r="47" spans="2:105">
      <c r="D47" s="370"/>
      <c r="E47" s="372"/>
      <c r="F47" s="372"/>
      <c r="G47" s="372"/>
      <c r="H47" s="372"/>
      <c r="J47" s="275"/>
      <c r="K47" s="372"/>
      <c r="L47" s="372"/>
      <c r="N47" s="275"/>
      <c r="O47" s="372"/>
      <c r="P47" s="372"/>
      <c r="Q47" s="372"/>
      <c r="R47" s="372"/>
      <c r="S47" s="372"/>
      <c r="T47" s="372"/>
      <c r="U47" s="350"/>
      <c r="V47" s="350"/>
      <c r="AG47" s="283"/>
      <c r="AH47" s="283"/>
    </row>
    <row r="48" spans="2:105">
      <c r="D48" s="370"/>
      <c r="E48" s="372"/>
      <c r="F48" s="372"/>
      <c r="G48" s="372"/>
      <c r="H48" s="372"/>
      <c r="J48" s="275"/>
      <c r="K48" s="372"/>
      <c r="L48" s="372"/>
      <c r="N48" s="275"/>
      <c r="O48" s="372"/>
      <c r="P48" s="372"/>
      <c r="Q48" s="372"/>
      <c r="R48" s="372"/>
      <c r="S48" s="372"/>
      <c r="T48" s="372"/>
      <c r="U48" s="350"/>
      <c r="V48" s="350"/>
      <c r="AG48" s="373"/>
      <c r="AH48" s="373"/>
    </row>
    <row r="49" spans="4:22">
      <c r="D49" s="370"/>
      <c r="E49" s="372"/>
      <c r="F49" s="372"/>
      <c r="G49" s="372"/>
      <c r="H49" s="372"/>
      <c r="J49" s="275"/>
      <c r="K49" s="372"/>
      <c r="L49" s="372"/>
      <c r="N49" s="275"/>
      <c r="O49" s="372"/>
      <c r="P49" s="372"/>
      <c r="Q49" s="372"/>
      <c r="R49" s="372"/>
      <c r="S49" s="372"/>
      <c r="T49" s="372"/>
      <c r="U49" s="350"/>
      <c r="V49" s="350"/>
    </row>
    <row r="50" spans="4:22">
      <c r="D50" s="275"/>
      <c r="E50" s="374"/>
      <c r="F50" s="375"/>
      <c r="G50" s="374"/>
      <c r="H50" s="372"/>
      <c r="J50" s="275"/>
      <c r="K50" s="372"/>
      <c r="L50" s="372"/>
      <c r="N50" s="275"/>
      <c r="O50" s="376"/>
      <c r="P50" s="376"/>
      <c r="Q50" s="376"/>
      <c r="R50" s="376"/>
      <c r="S50" s="376"/>
      <c r="T50" s="376"/>
    </row>
    <row r="51" spans="4:22">
      <c r="D51" s="275"/>
      <c r="E51" s="374"/>
      <c r="F51" s="375"/>
      <c r="G51" s="374"/>
      <c r="H51" s="372"/>
      <c r="J51" s="275"/>
      <c r="K51" s="372"/>
      <c r="L51" s="372"/>
      <c r="O51" s="126"/>
      <c r="P51" s="126"/>
      <c r="Q51" s="126"/>
      <c r="R51" s="126"/>
      <c r="S51" s="126"/>
      <c r="T51" s="126"/>
    </row>
    <row r="52" spans="4:22">
      <c r="D52" s="275"/>
      <c r="E52" s="374"/>
      <c r="F52" s="375"/>
      <c r="G52" s="374"/>
      <c r="H52" s="372"/>
      <c r="J52" s="275"/>
      <c r="K52" s="372"/>
      <c r="L52" s="372"/>
      <c r="N52" s="275"/>
      <c r="O52" s="376"/>
      <c r="P52" s="376"/>
      <c r="R52" s="262"/>
    </row>
    <row r="53" spans="4:22">
      <c r="D53" s="275"/>
      <c r="E53" s="376"/>
      <c r="F53" s="376"/>
      <c r="G53" s="376"/>
      <c r="H53" s="376"/>
      <c r="J53" s="275"/>
      <c r="K53" s="376"/>
      <c r="L53" s="376"/>
      <c r="O53" s="283"/>
    </row>
    <row r="54" spans="4:22">
      <c r="D54" s="275"/>
      <c r="E54" s="376"/>
      <c r="F54" s="376"/>
      <c r="G54" s="376"/>
      <c r="H54" s="376"/>
      <c r="J54" s="275"/>
      <c r="K54" s="376"/>
      <c r="L54" s="376"/>
      <c r="Q54" s="283"/>
    </row>
    <row r="55" spans="4:22">
      <c r="D55" s="275"/>
      <c r="E55" s="376"/>
      <c r="F55" s="376"/>
      <c r="G55" s="376"/>
      <c r="H55" s="376"/>
      <c r="J55" s="275"/>
      <c r="K55" s="376"/>
      <c r="L55" s="376"/>
      <c r="O55" s="283"/>
      <c r="Q55" s="356"/>
    </row>
    <row r="56" spans="4:22">
      <c r="D56" s="126"/>
      <c r="G56" s="356"/>
      <c r="J56" s="126"/>
      <c r="K56" s="283"/>
      <c r="O56" s="283"/>
      <c r="Q56" s="283"/>
    </row>
    <row r="57" spans="4:22">
      <c r="L57" s="283"/>
      <c r="O57" s="283"/>
    </row>
    <row r="58" spans="4:22">
      <c r="D58" s="275"/>
      <c r="J58" s="275"/>
    </row>
    <row r="59" spans="4:22">
      <c r="D59" s="275"/>
      <c r="H59" s="356"/>
      <c r="N59" s="275"/>
    </row>
  </sheetData>
  <mergeCells count="31">
    <mergeCell ref="W12:AB12"/>
    <mergeCell ref="W13:AB13"/>
    <mergeCell ref="O30:Q31"/>
    <mergeCell ref="T30:T31"/>
    <mergeCell ref="R21:R22"/>
    <mergeCell ref="S21:S22"/>
    <mergeCell ref="R30:R31"/>
    <mergeCell ref="O21:Q22"/>
    <mergeCell ref="S30:S31"/>
    <mergeCell ref="N14:O14"/>
    <mergeCell ref="P14:Q14"/>
    <mergeCell ref="N15:O15"/>
    <mergeCell ref="N16:O16"/>
    <mergeCell ref="N17:O17"/>
    <mergeCell ref="N30:N31"/>
    <mergeCell ref="T21:T22"/>
    <mergeCell ref="K30:M31"/>
    <mergeCell ref="N21:N22"/>
    <mergeCell ref="K21:M22"/>
    <mergeCell ref="D30:G31"/>
    <mergeCell ref="D21:G22"/>
    <mergeCell ref="H21:H22"/>
    <mergeCell ref="I21:J22"/>
    <mergeCell ref="D14:E14"/>
    <mergeCell ref="H30:H31"/>
    <mergeCell ref="I30:J31"/>
    <mergeCell ref="C2:H4"/>
    <mergeCell ref="D15:E15"/>
    <mergeCell ref="D16:E16"/>
    <mergeCell ref="D17:E17"/>
    <mergeCell ref="F14:G14"/>
  </mergeCells>
  <phoneticPr fontId="7" type="noConversion"/>
  <pageMargins left="0" right="0" top="1" bottom="1" header="0.5" footer="0.5"/>
  <pageSetup scale="35" fitToWidth="4" fitToHeight="0" orientation="landscape" r:id="rId1"/>
  <headerFooter alignWithMargins="0">
    <oddFooter>&amp;R&amp;A Page &amp;P of &amp;N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tabColor theme="9" tint="-0.249977111117893"/>
    <pageSetUpPr fitToPage="1"/>
  </sheetPr>
  <dimension ref="A2:X223"/>
  <sheetViews>
    <sheetView zoomScaleNormal="100" workbookViewId="0"/>
  </sheetViews>
  <sheetFormatPr defaultColWidth="9.1796875" defaultRowHeight="12.5"/>
  <cols>
    <col min="1" max="1" width="3.453125" style="20" customWidth="1"/>
    <col min="2" max="2" width="20.54296875" style="20" customWidth="1"/>
    <col min="3" max="3" width="17.54296875" style="20" customWidth="1"/>
    <col min="4" max="4" width="15" style="20" customWidth="1"/>
    <col min="5" max="5" width="14.81640625" style="20" bestFit="1" customWidth="1"/>
    <col min="6" max="6" width="13.453125" style="20" customWidth="1"/>
    <col min="7" max="7" width="29.453125" style="20" customWidth="1"/>
    <col min="8" max="8" width="17.1796875" style="20" customWidth="1"/>
    <col min="9" max="9" width="41.54296875" style="20" customWidth="1"/>
    <col min="10" max="10" width="26.453125" style="20" customWidth="1"/>
    <col min="11" max="11" width="19.1796875" style="20" customWidth="1"/>
    <col min="12" max="14" width="15.1796875" style="20" customWidth="1"/>
    <col min="15" max="15" width="17.81640625" style="20" customWidth="1"/>
    <col min="16" max="16" width="15.1796875" style="20" customWidth="1"/>
    <col min="17" max="16384" width="9.1796875" style="20"/>
  </cols>
  <sheetData>
    <row r="2" spans="2:16" ht="15" customHeight="1" thickBot="1">
      <c r="C2" s="104" t="s">
        <v>1415</v>
      </c>
      <c r="I2" s="104" t="s">
        <v>1528</v>
      </c>
      <c r="P2" s="66"/>
    </row>
    <row r="3" spans="2:16" ht="48" customHeight="1" thickBot="1">
      <c r="B3" s="431"/>
      <c r="C3" s="432"/>
      <c r="D3" s="432"/>
      <c r="E3" s="432"/>
      <c r="F3" s="432"/>
      <c r="G3" s="433"/>
      <c r="I3" s="434" t="s">
        <v>211</v>
      </c>
      <c r="J3" s="435" t="s">
        <v>328</v>
      </c>
      <c r="K3" s="435" t="s">
        <v>329</v>
      </c>
      <c r="L3" s="435" t="s">
        <v>1525</v>
      </c>
      <c r="M3" s="435" t="s">
        <v>330</v>
      </c>
      <c r="N3" s="436" t="s">
        <v>1538</v>
      </c>
      <c r="O3" s="437" t="s">
        <v>1537</v>
      </c>
    </row>
    <row r="4" spans="2:16" ht="14.25" customHeight="1">
      <c r="B4" s="64"/>
      <c r="C4" s="848" t="s">
        <v>2745</v>
      </c>
      <c r="D4" s="849"/>
      <c r="E4" s="849"/>
      <c r="F4" s="850"/>
      <c r="G4" s="102"/>
      <c r="I4" s="438" t="s">
        <v>215</v>
      </c>
      <c r="J4" s="28"/>
      <c r="K4" s="28"/>
      <c r="L4" s="28"/>
      <c r="M4" s="28"/>
      <c r="N4" s="439"/>
      <c r="O4" s="440"/>
    </row>
    <row r="5" spans="2:16" ht="12.75" customHeight="1">
      <c r="B5" s="64"/>
      <c r="C5" s="851"/>
      <c r="D5" s="852"/>
      <c r="E5" s="852"/>
      <c r="F5" s="853"/>
      <c r="G5" s="102"/>
      <c r="I5" s="441" t="s">
        <v>392</v>
      </c>
      <c r="J5" s="442">
        <f>K148*0.95</f>
        <v>209.0376193056039</v>
      </c>
      <c r="K5" s="442">
        <f>K116</f>
        <v>205.55876879999997</v>
      </c>
      <c r="L5" s="442">
        <f>D97*$C$90</f>
        <v>205.6471979936</v>
      </c>
      <c r="M5" s="442"/>
      <c r="N5" s="443">
        <f t="shared" ref="N5:N17" si="0">IF(K5&gt;0,K5,(IF(L5&gt;0,L5,(IF(J5&gt;0,J5,M5)))))</f>
        <v>205.55876879999997</v>
      </c>
      <c r="O5" s="444" t="str">
        <f t="shared" ref="O5:O17" si="1">IF(N5=J5,"IPCC",(IF(N5=K5,"EIA",(IF(N5=L5,"EPA",(IF(N5=M5,"Average")))))))</f>
        <v>EIA</v>
      </c>
    </row>
    <row r="6" spans="2:16" ht="12.75" customHeight="1">
      <c r="B6" s="64"/>
      <c r="C6" s="851"/>
      <c r="D6" s="852"/>
      <c r="E6" s="852"/>
      <c r="F6" s="853"/>
      <c r="G6" s="102"/>
      <c r="I6" s="441" t="s">
        <v>393</v>
      </c>
      <c r="J6" s="442">
        <f>K149*0.95</f>
        <v>212.35216929459335</v>
      </c>
      <c r="K6" s="442">
        <f>K130</f>
        <v>214.13474059999996</v>
      </c>
      <c r="L6" s="442">
        <f>D98*$C$90</f>
        <v>214.22317998539998</v>
      </c>
      <c r="M6" s="442"/>
      <c r="N6" s="443">
        <f t="shared" si="0"/>
        <v>214.13474059999996</v>
      </c>
      <c r="O6" s="444" t="str">
        <f t="shared" si="1"/>
        <v>EIA</v>
      </c>
    </row>
    <row r="7" spans="2:16" ht="12.75" customHeight="1">
      <c r="B7" s="64"/>
      <c r="C7" s="851"/>
      <c r="D7" s="852"/>
      <c r="E7" s="852"/>
      <c r="F7" s="853"/>
      <c r="G7" s="102"/>
      <c r="I7" s="441" t="s">
        <v>381</v>
      </c>
      <c r="J7" s="442"/>
      <c r="K7" s="442">
        <f>K117</f>
        <v>163.45052679999998</v>
      </c>
      <c r="L7" s="442">
        <f>D108*C90</f>
        <v>161.48860691499999</v>
      </c>
      <c r="M7" s="442"/>
      <c r="N7" s="443">
        <f t="shared" si="0"/>
        <v>163.45052679999998</v>
      </c>
      <c r="O7" s="444" t="str">
        <f t="shared" si="1"/>
        <v>EIA</v>
      </c>
    </row>
    <row r="8" spans="2:16" ht="15" customHeight="1" thickBot="1">
      <c r="B8" s="64"/>
      <c r="C8" s="854"/>
      <c r="D8" s="855"/>
      <c r="E8" s="855"/>
      <c r="F8" s="856"/>
      <c r="G8" s="102"/>
      <c r="I8" s="441" t="s">
        <v>380</v>
      </c>
      <c r="J8" s="442">
        <f>K151*0.9</f>
        <v>117.43973960988026</v>
      </c>
      <c r="K8" s="442">
        <f>K123</f>
        <v>116.64644419999998</v>
      </c>
      <c r="L8" s="442">
        <f>D106*C90</f>
        <v>116.9772762172</v>
      </c>
      <c r="M8" s="442"/>
      <c r="N8" s="443">
        <f t="shared" si="0"/>
        <v>116.64644419999998</v>
      </c>
      <c r="O8" s="444" t="str">
        <f t="shared" si="1"/>
        <v>EIA</v>
      </c>
    </row>
    <row r="9" spans="2:16">
      <c r="B9" s="64"/>
      <c r="G9" s="102"/>
      <c r="I9" s="441" t="s">
        <v>394</v>
      </c>
      <c r="J9" s="442">
        <f>K153*0.95</f>
        <v>202.62948932689085</v>
      </c>
      <c r="K9" s="442"/>
      <c r="L9" s="442"/>
      <c r="M9" s="442"/>
      <c r="N9" s="443">
        <f t="shared" si="0"/>
        <v>202.62948932689085</v>
      </c>
      <c r="O9" s="444" t="str">
        <f t="shared" si="1"/>
        <v>IPCC</v>
      </c>
    </row>
    <row r="10" spans="2:16" ht="14">
      <c r="B10" s="64"/>
      <c r="C10" s="41" t="s">
        <v>1412</v>
      </c>
      <c r="D10" s="41" t="s">
        <v>209</v>
      </c>
      <c r="E10" s="41" t="s">
        <v>210</v>
      </c>
      <c r="G10" s="102"/>
      <c r="I10" s="441" t="s">
        <v>395</v>
      </c>
      <c r="J10" s="442"/>
      <c r="K10" s="442"/>
      <c r="L10" s="442"/>
      <c r="M10" s="442">
        <f>AVERAGE(N5:N9,N11:N17,N20:N23,N25:N27)</f>
        <v>179.02554274240299</v>
      </c>
      <c r="N10" s="443">
        <f t="shared" si="0"/>
        <v>179.02554274240299</v>
      </c>
      <c r="O10" s="444" t="str">
        <f t="shared" si="1"/>
        <v>Average</v>
      </c>
    </row>
    <row r="11" spans="2:16" ht="14">
      <c r="B11" s="64"/>
      <c r="C11" s="445" t="s">
        <v>2782</v>
      </c>
      <c r="D11" s="446">
        <f>IF(C11=C14,D14,IF(C11=C15,D15,IF(C11=C16,D16,IF(C11=C17,D17))))</f>
        <v>25</v>
      </c>
      <c r="E11" s="446">
        <f>IF(D11=D14,E14,IF(D11=D15,E15,IF(D11=D16,E16,IF(D11=D17,E17))))</f>
        <v>298</v>
      </c>
      <c r="G11" s="102"/>
      <c r="I11" s="441" t="s">
        <v>390</v>
      </c>
      <c r="J11" s="442"/>
      <c r="K11" s="442">
        <f>K131</f>
        <v>189.53118139999998</v>
      </c>
      <c r="L11" s="442">
        <f>D142*C90</f>
        <v>189.5314066414</v>
      </c>
      <c r="M11" s="442"/>
      <c r="N11" s="443">
        <f t="shared" si="0"/>
        <v>189.53118139999998</v>
      </c>
      <c r="O11" s="444" t="str">
        <f t="shared" si="1"/>
        <v>EIA</v>
      </c>
    </row>
    <row r="12" spans="2:16">
      <c r="B12" s="64"/>
      <c r="G12" s="102"/>
      <c r="I12" s="441" t="s">
        <v>383</v>
      </c>
      <c r="J12" s="442">
        <f>K156*0.95</f>
        <v>215.44574928431689</v>
      </c>
      <c r="K12" s="442">
        <f>K124</f>
        <v>225.12843096919997</v>
      </c>
      <c r="L12" s="442">
        <f>D130*C90</f>
        <v>225.77540251419998</v>
      </c>
      <c r="M12" s="442"/>
      <c r="N12" s="443">
        <f t="shared" si="0"/>
        <v>225.12843096919997</v>
      </c>
      <c r="O12" s="444" t="str">
        <f t="shared" si="1"/>
        <v>EIA</v>
      </c>
    </row>
    <row r="13" spans="2:16" ht="14">
      <c r="B13" s="64"/>
      <c r="C13" s="446"/>
      <c r="D13" s="447" t="s">
        <v>209</v>
      </c>
      <c r="E13" s="447" t="s">
        <v>210</v>
      </c>
      <c r="G13" s="102"/>
      <c r="I13" s="441" t="s">
        <v>382</v>
      </c>
      <c r="J13" s="442">
        <f>K157*0.95</f>
        <v>171.0307794318577</v>
      </c>
      <c r="K13" s="442">
        <f>K127</f>
        <v>165.55225718459997</v>
      </c>
      <c r="L13" s="442">
        <f>D112*C90</f>
        <v>165.56715876199999</v>
      </c>
      <c r="M13" s="442"/>
      <c r="N13" s="443">
        <f t="shared" si="0"/>
        <v>165.55225718459997</v>
      </c>
      <c r="O13" s="444" t="str">
        <f t="shared" si="1"/>
        <v>EIA</v>
      </c>
    </row>
    <row r="14" spans="2:16" ht="14">
      <c r="B14" s="64"/>
      <c r="C14" s="447" t="s">
        <v>2782</v>
      </c>
      <c r="D14" s="448">
        <v>25</v>
      </c>
      <c r="E14" s="448">
        <v>298</v>
      </c>
      <c r="G14" s="102"/>
      <c r="I14" s="441" t="s">
        <v>384</v>
      </c>
      <c r="J14" s="442">
        <f>K158*0.95</f>
        <v>157.99354947516574</v>
      </c>
      <c r="K14" s="442">
        <f>K119</f>
        <v>159.24704398459997</v>
      </c>
      <c r="L14" s="442">
        <f>D137*C90</f>
        <v>159.21784561639998</v>
      </c>
      <c r="M14" s="442"/>
      <c r="N14" s="443">
        <f t="shared" si="0"/>
        <v>159.24704398459997</v>
      </c>
      <c r="O14" s="444" t="str">
        <f t="shared" si="1"/>
        <v>EIA</v>
      </c>
    </row>
    <row r="15" spans="2:16" ht="14">
      <c r="B15" s="64"/>
      <c r="C15" s="447" t="s">
        <v>2783</v>
      </c>
      <c r="D15" s="448">
        <v>28</v>
      </c>
      <c r="E15" s="448">
        <v>265</v>
      </c>
      <c r="G15" s="102"/>
      <c r="I15" s="441" t="s">
        <v>385</v>
      </c>
      <c r="J15" s="442">
        <f>K159*0.95</f>
        <v>158.87742947222955</v>
      </c>
      <c r="K15" s="442">
        <f>K120</f>
        <v>161.34877436919999</v>
      </c>
      <c r="L15" s="442">
        <f>D114*C90</f>
        <v>165.787621024</v>
      </c>
      <c r="M15" s="442"/>
      <c r="N15" s="443">
        <f t="shared" si="0"/>
        <v>161.34877436919999</v>
      </c>
      <c r="O15" s="444" t="str">
        <f t="shared" si="1"/>
        <v>EIA</v>
      </c>
    </row>
    <row r="16" spans="2:16" ht="14">
      <c r="B16" s="64"/>
      <c r="C16" s="447" t="s">
        <v>2784</v>
      </c>
      <c r="D16" s="448">
        <v>72</v>
      </c>
      <c r="E16" s="448">
        <v>289</v>
      </c>
      <c r="G16" s="102"/>
      <c r="I16" s="441" t="s">
        <v>386</v>
      </c>
      <c r="J16" s="442">
        <f>K160*0.95</f>
        <v>161.97100946195312</v>
      </c>
      <c r="K16" s="442">
        <f>K132</f>
        <v>205.55876879999997</v>
      </c>
      <c r="L16" s="442"/>
      <c r="M16" s="442"/>
      <c r="N16" s="443">
        <f t="shared" si="0"/>
        <v>205.55876879999997</v>
      </c>
      <c r="O16" s="444" t="str">
        <f t="shared" si="1"/>
        <v>EIA</v>
      </c>
    </row>
    <row r="17" spans="2:15" ht="14">
      <c r="B17" s="64"/>
      <c r="C17" s="447" t="s">
        <v>2785</v>
      </c>
      <c r="D17" s="448">
        <v>84</v>
      </c>
      <c r="E17" s="448">
        <v>264</v>
      </c>
      <c r="G17" s="102"/>
      <c r="I17" s="441" t="s">
        <v>435</v>
      </c>
      <c r="J17" s="442"/>
      <c r="K17" s="442">
        <f>K125</f>
        <v>138.63384698459998</v>
      </c>
      <c r="L17" s="442">
        <f>D116*C90</f>
        <v>138.60462411939997</v>
      </c>
      <c r="M17" s="442"/>
      <c r="N17" s="443">
        <f t="shared" si="0"/>
        <v>138.63384698459998</v>
      </c>
      <c r="O17" s="444" t="str">
        <f t="shared" si="1"/>
        <v>EIA</v>
      </c>
    </row>
    <row r="18" spans="2:15" ht="14">
      <c r="B18" s="64"/>
      <c r="C18" s="449" t="s">
        <v>1413</v>
      </c>
      <c r="G18" s="102"/>
      <c r="I18" s="441"/>
      <c r="J18" s="442"/>
      <c r="K18" s="442"/>
      <c r="L18" s="442"/>
      <c r="M18" s="442"/>
      <c r="N18" s="443"/>
      <c r="O18" s="444"/>
    </row>
    <row r="19" spans="2:15" ht="14">
      <c r="B19" s="64"/>
      <c r="C19" s="449" t="s">
        <v>1414</v>
      </c>
      <c r="G19" s="102"/>
      <c r="I19" s="438" t="s">
        <v>221</v>
      </c>
      <c r="J19" s="442"/>
      <c r="K19" s="442"/>
      <c r="L19" s="442"/>
      <c r="M19" s="442"/>
      <c r="N19" s="443"/>
      <c r="O19" s="444"/>
    </row>
    <row r="20" spans="2:15">
      <c r="B20" s="64"/>
      <c r="G20" s="102"/>
      <c r="I20" s="441" t="s">
        <v>388</v>
      </c>
      <c r="J20" s="442">
        <f>K164*0.9</f>
        <v>114.29963962031128</v>
      </c>
      <c r="K20" s="442"/>
      <c r="L20" s="442">
        <f>D156*C90</f>
        <v>114.79469982339999</v>
      </c>
      <c r="M20" s="442"/>
      <c r="N20" s="443">
        <f t="shared" ref="N20:N27" si="2">IF(K20&gt;0,K20,(IF(L20&gt;0,L20,(IF(J20&gt;0,J20,M20)))))</f>
        <v>114.79469982339999</v>
      </c>
      <c r="O20" s="444" t="str">
        <f t="shared" ref="O20:O27" si="3">IF(N20=J20,"IPCC",(IF(N20=K20,"EIA",(IF(N20=L20,"EPA",(IF(N20=M20,"Average")))))))</f>
        <v>EPA</v>
      </c>
    </row>
    <row r="21" spans="2:15">
      <c r="B21" s="64"/>
      <c r="G21" s="102"/>
      <c r="I21" s="441" t="s">
        <v>391</v>
      </c>
      <c r="J21" s="442">
        <f>K165*0.9</f>
        <v>209.33999930459942</v>
      </c>
      <c r="K21" s="442"/>
      <c r="L21" s="442"/>
      <c r="M21" s="442"/>
      <c r="N21" s="443">
        <f t="shared" si="2"/>
        <v>209.33999930459942</v>
      </c>
      <c r="O21" s="444" t="str">
        <f t="shared" si="3"/>
        <v>IPCC</v>
      </c>
    </row>
    <row r="22" spans="2:15" ht="13" thickBot="1">
      <c r="B22" s="450"/>
      <c r="C22" s="451"/>
      <c r="D22" s="451"/>
      <c r="E22" s="451"/>
      <c r="F22" s="451"/>
      <c r="G22" s="452"/>
      <c r="I22" s="441" t="s">
        <v>387</v>
      </c>
      <c r="J22" s="442">
        <f>K166*0.9</f>
        <v>199.50101933728322</v>
      </c>
      <c r="K22" s="442"/>
      <c r="L22" s="442"/>
      <c r="M22" s="442"/>
      <c r="N22" s="443">
        <f t="shared" si="2"/>
        <v>199.50101933728322</v>
      </c>
      <c r="O22" s="444" t="str">
        <f t="shared" si="3"/>
        <v>IPCC</v>
      </c>
    </row>
    <row r="23" spans="2:15">
      <c r="I23" s="441" t="s">
        <v>396</v>
      </c>
      <c r="J23" s="442">
        <f>K167*0.9</f>
        <v>234.46079922115135</v>
      </c>
      <c r="K23" s="442"/>
      <c r="L23" s="442">
        <f>D151*C90</f>
        <v>206.79360175599999</v>
      </c>
      <c r="M23" s="442"/>
      <c r="N23" s="443">
        <f t="shared" si="2"/>
        <v>206.79360175599999</v>
      </c>
      <c r="O23" s="444" t="str">
        <f t="shared" si="3"/>
        <v>EPA</v>
      </c>
    </row>
    <row r="24" spans="2:15">
      <c r="I24" s="441" t="s">
        <v>389</v>
      </c>
      <c r="J24" s="442"/>
      <c r="K24" s="442"/>
      <c r="L24" s="442"/>
      <c r="M24" s="442">
        <f>AVERAGE(N5:N9,N11:N17,N20:N23,N25:N27)</f>
        <v>179.02554274240299</v>
      </c>
      <c r="N24" s="443">
        <f t="shared" si="2"/>
        <v>179.02554274240299</v>
      </c>
      <c r="O24" s="444" t="str">
        <f t="shared" si="3"/>
        <v>Average</v>
      </c>
    </row>
    <row r="25" spans="2:15">
      <c r="I25" s="441" t="s">
        <v>437</v>
      </c>
      <c r="J25" s="442">
        <f>K168*0.9</f>
        <v>209.33999930459942</v>
      </c>
      <c r="K25" s="442"/>
      <c r="L25" s="442"/>
      <c r="M25" s="442"/>
      <c r="N25" s="443">
        <f t="shared" si="2"/>
        <v>209.33999930459942</v>
      </c>
      <c r="O25" s="444" t="str">
        <f t="shared" si="3"/>
        <v>IPCC</v>
      </c>
    </row>
    <row r="26" spans="2:15" ht="16" thickBot="1">
      <c r="B26" s="104" t="s">
        <v>1539</v>
      </c>
      <c r="I26" s="441" t="s">
        <v>2508</v>
      </c>
      <c r="J26" s="442">
        <f>K166*0.9</f>
        <v>199.50101933728322</v>
      </c>
      <c r="K26" s="442"/>
      <c r="L26" s="442"/>
      <c r="M26" s="442"/>
      <c r="N26" s="443">
        <f t="shared" si="2"/>
        <v>199.50101933728322</v>
      </c>
      <c r="O26" s="444" t="str">
        <f t="shared" si="3"/>
        <v>IPCC</v>
      </c>
    </row>
    <row r="27" spans="2:15" ht="13.5" customHeight="1" thickBot="1">
      <c r="B27" s="857" t="s">
        <v>1540</v>
      </c>
      <c r="C27" s="858"/>
      <c r="D27" s="858"/>
      <c r="E27" s="858"/>
      <c r="F27" s="858"/>
      <c r="G27" s="859"/>
      <c r="I27" s="453" t="s">
        <v>436</v>
      </c>
      <c r="J27" s="454">
        <f>K169*0.9</f>
        <v>114.29963962031128</v>
      </c>
      <c r="K27" s="454"/>
      <c r="L27" s="454">
        <f>D157*C90</f>
        <v>114.79469982339999</v>
      </c>
      <c r="M27" s="454"/>
      <c r="N27" s="455">
        <f t="shared" si="2"/>
        <v>114.79469982339999</v>
      </c>
      <c r="O27" s="456" t="str">
        <f t="shared" si="3"/>
        <v>EPA</v>
      </c>
    </row>
    <row r="28" spans="2:15">
      <c r="B28" s="860"/>
      <c r="C28" s="861"/>
      <c r="D28" s="861"/>
      <c r="E28" s="861"/>
      <c r="F28" s="861"/>
      <c r="G28" s="862"/>
    </row>
    <row r="29" spans="2:15" ht="14.25" customHeight="1">
      <c r="B29" s="860"/>
      <c r="C29" s="861"/>
      <c r="D29" s="861"/>
      <c r="E29" s="861"/>
      <c r="F29" s="861"/>
      <c r="G29" s="862"/>
    </row>
    <row r="30" spans="2:15" ht="16" thickBot="1">
      <c r="B30" s="860"/>
      <c r="C30" s="861"/>
      <c r="D30" s="861"/>
      <c r="E30" s="861"/>
      <c r="F30" s="861"/>
      <c r="G30" s="862"/>
      <c r="I30" s="104" t="s">
        <v>1529</v>
      </c>
    </row>
    <row r="31" spans="2:15" ht="46.5" thickBot="1">
      <c r="B31" s="863"/>
      <c r="C31" s="864"/>
      <c r="D31" s="864"/>
      <c r="E31" s="864"/>
      <c r="F31" s="864"/>
      <c r="G31" s="865"/>
      <c r="I31" s="434" t="s">
        <v>211</v>
      </c>
      <c r="J31" s="435" t="s">
        <v>338</v>
      </c>
      <c r="K31" s="435" t="s">
        <v>1533</v>
      </c>
      <c r="L31" s="435" t="s">
        <v>340</v>
      </c>
      <c r="M31" s="436" t="s">
        <v>1538</v>
      </c>
      <c r="N31" s="437" t="s">
        <v>1537</v>
      </c>
    </row>
    <row r="32" spans="2:15" ht="13" thickBot="1">
      <c r="B32" s="457"/>
      <c r="C32" s="457"/>
      <c r="D32" s="457"/>
      <c r="E32" s="457"/>
      <c r="F32" s="457"/>
      <c r="G32" s="457"/>
      <c r="I32" s="438" t="s">
        <v>215</v>
      </c>
      <c r="J32" s="28"/>
      <c r="K32" s="28"/>
      <c r="L32" s="28"/>
      <c r="M32" s="458"/>
      <c r="N32" s="440"/>
    </row>
    <row r="33" spans="2:14" ht="13">
      <c r="B33" s="457"/>
      <c r="C33" s="631" t="s">
        <v>3084</v>
      </c>
      <c r="D33" s="632"/>
      <c r="E33" s="632"/>
      <c r="F33" s="632"/>
      <c r="G33" s="633"/>
      <c r="I33" s="441" t="s">
        <v>392</v>
      </c>
      <c r="J33" s="459">
        <f>K175*0.95</f>
        <v>2.2096999926596605E-3</v>
      </c>
      <c r="K33" s="459">
        <f>0.011*$C$90</f>
        <v>2.4250848819999997E-2</v>
      </c>
      <c r="L33" s="459"/>
      <c r="M33" s="460">
        <f t="shared" ref="M33:M45" si="4">(IF(K33&gt;0,K33,(IF(J33&gt;0,J33,L33))))</f>
        <v>2.4250848819999997E-2</v>
      </c>
      <c r="N33" s="444" t="str">
        <f t="shared" ref="N33:N45" si="5">IF(M33=J33,"IPCC",(IF(M33=K33,"EPA",(IF(M33=L33,"Average")))))</f>
        <v>EPA</v>
      </c>
    </row>
    <row r="34" spans="2:14">
      <c r="C34" s="634"/>
      <c r="D34" s="622" t="s">
        <v>3085</v>
      </c>
      <c r="E34" s="625">
        <v>745.9</v>
      </c>
      <c r="F34" s="626" t="s">
        <v>3079</v>
      </c>
      <c r="G34" s="102"/>
      <c r="I34" s="441" t="s">
        <v>393</v>
      </c>
      <c r="J34" s="459">
        <f>K176*0.95</f>
        <v>2.2096999926596605E-3</v>
      </c>
      <c r="K34" s="459">
        <f>0.011*$C$90</f>
        <v>2.4250848819999997E-2</v>
      </c>
      <c r="L34" s="459"/>
      <c r="M34" s="460">
        <f t="shared" si="4"/>
        <v>2.4250848819999997E-2</v>
      </c>
      <c r="N34" s="444" t="str">
        <f t="shared" si="5"/>
        <v>EPA</v>
      </c>
    </row>
    <row r="35" spans="2:14">
      <c r="C35" s="635" t="s">
        <v>3086</v>
      </c>
      <c r="G35" s="102"/>
      <c r="I35" s="441" t="s">
        <v>381</v>
      </c>
      <c r="J35" s="459">
        <f>K177*0.95</f>
        <v>6.6290999779789802E-3</v>
      </c>
      <c r="K35" s="459">
        <f>0.003*$C$90</f>
        <v>6.6138678599999999E-3</v>
      </c>
      <c r="L35" s="459"/>
      <c r="M35" s="460">
        <f t="shared" si="4"/>
        <v>6.6138678599999999E-3</v>
      </c>
      <c r="N35" s="444" t="str">
        <f t="shared" si="5"/>
        <v>EPA</v>
      </c>
    </row>
    <row r="36" spans="2:14" ht="13" thickBot="1">
      <c r="C36" s="636" t="s">
        <v>3083</v>
      </c>
      <c r="D36" s="637" t="s">
        <v>3082</v>
      </c>
      <c r="E36" s="451"/>
      <c r="F36" s="451"/>
      <c r="G36" s="452"/>
      <c r="I36" s="441" t="s">
        <v>380</v>
      </c>
      <c r="J36" s="459">
        <f>K178*0.9</f>
        <v>2.0933999930459941E-3</v>
      </c>
      <c r="K36" s="459">
        <f>0.001*$C$90</f>
        <v>2.20462262E-3</v>
      </c>
      <c r="L36" s="459"/>
      <c r="M36" s="460">
        <f t="shared" si="4"/>
        <v>2.20462262E-3</v>
      </c>
      <c r="N36" s="444" t="str">
        <f t="shared" si="5"/>
        <v>EPA</v>
      </c>
    </row>
    <row r="37" spans="2:14">
      <c r="I37" s="441" t="s">
        <v>394</v>
      </c>
      <c r="J37" s="459">
        <f>K180*0.95</f>
        <v>6.6290999779789792E-2</v>
      </c>
      <c r="K37" s="459"/>
      <c r="L37" s="459"/>
      <c r="M37" s="460">
        <f t="shared" si="4"/>
        <v>6.6290999779789792E-2</v>
      </c>
      <c r="N37" s="444" t="str">
        <f t="shared" si="5"/>
        <v>IPCC</v>
      </c>
    </row>
    <row r="38" spans="2:14">
      <c r="B38" s="868" t="s">
        <v>3088</v>
      </c>
      <c r="C38" s="869"/>
      <c r="D38" s="869"/>
      <c r="E38" s="869"/>
      <c r="F38" s="869"/>
      <c r="G38" s="870"/>
      <c r="I38" s="441" t="s">
        <v>395</v>
      </c>
      <c r="J38" s="459"/>
      <c r="K38" s="459"/>
      <c r="L38" s="459">
        <f>AVERAGE(M33:M37,M39:M45,M48:M51,M53:M55)</f>
        <v>2.4473862989538703E-2</v>
      </c>
      <c r="M38" s="460">
        <f t="shared" si="4"/>
        <v>2.4473862989538703E-2</v>
      </c>
      <c r="N38" s="444" t="str">
        <f t="shared" si="5"/>
        <v>Average</v>
      </c>
    </row>
    <row r="39" spans="2:14">
      <c r="B39" s="871"/>
      <c r="C39" s="872"/>
      <c r="D39" s="872"/>
      <c r="E39" s="872"/>
      <c r="F39" s="872"/>
      <c r="G39" s="873"/>
      <c r="I39" s="441" t="s">
        <v>390</v>
      </c>
      <c r="J39" s="459">
        <f t="shared" ref="J39:J45" si="6">K182*0.95</f>
        <v>6.6290999779789792E-2</v>
      </c>
      <c r="K39" s="459">
        <f>0.032*$C$90</f>
        <v>7.0547923839999999E-2</v>
      </c>
      <c r="L39" s="459"/>
      <c r="M39" s="460">
        <f t="shared" si="4"/>
        <v>7.0547923839999999E-2</v>
      </c>
      <c r="N39" s="444" t="str">
        <f t="shared" si="5"/>
        <v>EPA</v>
      </c>
    </row>
    <row r="40" spans="2:14">
      <c r="B40" s="871"/>
      <c r="C40" s="872"/>
      <c r="D40" s="872"/>
      <c r="E40" s="872"/>
      <c r="F40" s="872"/>
      <c r="G40" s="873"/>
      <c r="I40" s="441" t="s">
        <v>383</v>
      </c>
      <c r="J40" s="459">
        <f t="shared" si="6"/>
        <v>6.6290999779789802E-3</v>
      </c>
      <c r="K40" s="459">
        <f>0.003*$C$90</f>
        <v>6.6138678599999999E-3</v>
      </c>
      <c r="L40" s="459"/>
      <c r="M40" s="460">
        <f t="shared" si="4"/>
        <v>6.6138678599999999E-3</v>
      </c>
      <c r="N40" s="444" t="str">
        <f t="shared" si="5"/>
        <v>EPA</v>
      </c>
    </row>
    <row r="41" spans="2:14">
      <c r="B41" s="874"/>
      <c r="C41" s="875"/>
      <c r="D41" s="875"/>
      <c r="E41" s="875"/>
      <c r="F41" s="875"/>
      <c r="G41" s="876"/>
      <c r="I41" s="441" t="s">
        <v>382</v>
      </c>
      <c r="J41" s="459">
        <f t="shared" si="6"/>
        <v>6.6290999779789802E-3</v>
      </c>
      <c r="K41" s="459">
        <f>0.003*$C$90</f>
        <v>6.6138678599999999E-3</v>
      </c>
      <c r="L41" s="459"/>
      <c r="M41" s="460">
        <f t="shared" si="4"/>
        <v>6.6138678599999999E-3</v>
      </c>
      <c r="N41" s="444" t="str">
        <f t="shared" si="5"/>
        <v>EPA</v>
      </c>
    </row>
    <row r="42" spans="2:14">
      <c r="I42" s="441" t="s">
        <v>384</v>
      </c>
      <c r="J42" s="459">
        <f t="shared" si="6"/>
        <v>6.6290999779789802E-3</v>
      </c>
      <c r="K42" s="459">
        <f>0.003*$C$90</f>
        <v>6.6138678599999999E-3</v>
      </c>
      <c r="L42" s="459"/>
      <c r="M42" s="460">
        <f t="shared" si="4"/>
        <v>6.6138678599999999E-3</v>
      </c>
      <c r="N42" s="444" t="str">
        <f t="shared" si="5"/>
        <v>EPA</v>
      </c>
    </row>
    <row r="43" spans="2:14">
      <c r="I43" s="441" t="s">
        <v>385</v>
      </c>
      <c r="J43" s="459">
        <f t="shared" si="6"/>
        <v>6.6290999779789802E-3</v>
      </c>
      <c r="K43" s="459">
        <f>0.003*$C$90</f>
        <v>6.6138678599999999E-3</v>
      </c>
      <c r="L43" s="459"/>
      <c r="M43" s="460">
        <f t="shared" si="4"/>
        <v>6.6138678599999999E-3</v>
      </c>
      <c r="N43" s="444" t="str">
        <f t="shared" si="5"/>
        <v>EPA</v>
      </c>
    </row>
    <row r="44" spans="2:14">
      <c r="I44" s="441" t="s">
        <v>386</v>
      </c>
      <c r="J44" s="459">
        <f t="shared" si="6"/>
        <v>6.6290999779789792E-2</v>
      </c>
      <c r="K44" s="459"/>
      <c r="L44" s="459"/>
      <c r="M44" s="460">
        <f t="shared" si="4"/>
        <v>6.6290999779789792E-2</v>
      </c>
      <c r="N44" s="444" t="str">
        <f t="shared" si="5"/>
        <v>IPCC</v>
      </c>
    </row>
    <row r="45" spans="2:14">
      <c r="I45" s="441" t="s">
        <v>435</v>
      </c>
      <c r="J45" s="459">
        <f t="shared" si="6"/>
        <v>2.2096999926596605E-3</v>
      </c>
      <c r="K45" s="459">
        <f>0.001*$C$90</f>
        <v>2.20462262E-3</v>
      </c>
      <c r="L45" s="459"/>
      <c r="M45" s="460">
        <f t="shared" si="4"/>
        <v>2.20462262E-3</v>
      </c>
      <c r="N45" s="444" t="str">
        <f t="shared" si="5"/>
        <v>EPA</v>
      </c>
    </row>
    <row r="46" spans="2:14">
      <c r="I46" s="441"/>
      <c r="J46" s="459"/>
      <c r="K46" s="459"/>
      <c r="L46" s="459"/>
      <c r="M46" s="460"/>
      <c r="N46" s="444"/>
    </row>
    <row r="47" spans="2:14">
      <c r="I47" s="438" t="s">
        <v>221</v>
      </c>
      <c r="J47" s="459"/>
      <c r="K47" s="459"/>
      <c r="L47" s="459"/>
      <c r="M47" s="460"/>
      <c r="N47" s="444"/>
    </row>
    <row r="48" spans="2:14">
      <c r="I48" s="441" t="s">
        <v>388</v>
      </c>
      <c r="J48" s="459">
        <f>K191*0.9</f>
        <v>2.0933999930459941E-3</v>
      </c>
      <c r="K48" s="459">
        <f>0.0032*$C$90</f>
        <v>7.054792384E-3</v>
      </c>
      <c r="L48" s="459"/>
      <c r="M48" s="460">
        <f t="shared" ref="M48:M55" si="7">(IF(K48&gt;0,K48,(IF(J48&gt;0,J48,L48))))</f>
        <v>7.054792384E-3</v>
      </c>
      <c r="N48" s="444" t="str">
        <f t="shared" ref="N48:N55" si="8">IF(M48=J48,"IPCC",(IF(M48=K48,"EPA",(IF(M48=L48,"Average")))))</f>
        <v>EPA</v>
      </c>
    </row>
    <row r="49" spans="7:14">
      <c r="I49" s="441" t="s">
        <v>391</v>
      </c>
      <c r="J49" s="459">
        <f>K192*0.9</f>
        <v>6.280199979137982E-2</v>
      </c>
      <c r="K49" s="459"/>
      <c r="L49" s="459"/>
      <c r="M49" s="460">
        <f t="shared" si="7"/>
        <v>6.280199979137982E-2</v>
      </c>
      <c r="N49" s="444" t="str">
        <f t="shared" si="8"/>
        <v>IPCC</v>
      </c>
    </row>
    <row r="50" spans="7:14">
      <c r="I50" s="441" t="s">
        <v>387</v>
      </c>
      <c r="J50" s="459">
        <f>K193*0.9</f>
        <v>6.2801999791379818E-3</v>
      </c>
      <c r="K50" s="459"/>
      <c r="L50" s="459"/>
      <c r="M50" s="460">
        <f t="shared" si="7"/>
        <v>6.2801999791379818E-3</v>
      </c>
      <c r="N50" s="444" t="str">
        <f t="shared" si="8"/>
        <v>IPCC</v>
      </c>
    </row>
    <row r="51" spans="7:14">
      <c r="G51" s="25"/>
      <c r="I51" s="441" t="s">
        <v>396</v>
      </c>
      <c r="J51" s="459">
        <f>K194*0.9</f>
        <v>6.280199979137982E-2</v>
      </c>
      <c r="K51" s="459">
        <f>0.0072*$C$90</f>
        <v>1.5873282863999999E-2</v>
      </c>
      <c r="L51" s="459"/>
      <c r="M51" s="460">
        <f t="shared" si="7"/>
        <v>1.5873282863999999E-2</v>
      </c>
      <c r="N51" s="444" t="str">
        <f t="shared" si="8"/>
        <v>EPA</v>
      </c>
    </row>
    <row r="52" spans="7:14">
      <c r="G52" s="25"/>
      <c r="I52" s="441" t="s">
        <v>389</v>
      </c>
      <c r="J52" s="459"/>
      <c r="K52" s="459"/>
      <c r="L52" s="459">
        <f>AVERAGE(M33:M37,M39:M45,M48:M51,M53:M55)</f>
        <v>2.4473862989538703E-2</v>
      </c>
      <c r="M52" s="460">
        <f t="shared" si="7"/>
        <v>2.4473862989538703E-2</v>
      </c>
      <c r="N52" s="444" t="str">
        <f t="shared" si="8"/>
        <v>Average</v>
      </c>
    </row>
    <row r="53" spans="7:14">
      <c r="I53" s="441" t="s">
        <v>437</v>
      </c>
      <c r="J53" s="459">
        <f>K195*0.9</f>
        <v>6.280199979137982E-2</v>
      </c>
      <c r="K53" s="459">
        <f>0.032*$C$90</f>
        <v>7.0547923839999999E-2</v>
      </c>
      <c r="L53" s="459"/>
      <c r="M53" s="460">
        <f t="shared" si="7"/>
        <v>7.0547923839999999E-2</v>
      </c>
      <c r="N53" s="444" t="str">
        <f t="shared" si="8"/>
        <v>EPA</v>
      </c>
    </row>
    <row r="54" spans="7:14">
      <c r="I54" s="441" t="s">
        <v>2508</v>
      </c>
      <c r="J54" s="459">
        <f>K193*0.9</f>
        <v>6.2801999791379818E-3</v>
      </c>
      <c r="K54" s="459"/>
      <c r="L54" s="459"/>
      <c r="M54" s="460">
        <f t="shared" si="7"/>
        <v>6.2801999791379818E-3</v>
      </c>
      <c r="N54" s="444" t="str">
        <f t="shared" si="8"/>
        <v>IPCC</v>
      </c>
    </row>
    <row r="55" spans="7:14" ht="13" thickBot="1">
      <c r="I55" s="453" t="s">
        <v>436</v>
      </c>
      <c r="J55" s="461">
        <f>K196*0.9</f>
        <v>2.0933999930459941E-3</v>
      </c>
      <c r="K55" s="461">
        <f>0.0032*$C$90</f>
        <v>7.054792384E-3</v>
      </c>
      <c r="L55" s="461"/>
      <c r="M55" s="462">
        <f t="shared" si="7"/>
        <v>7.054792384E-3</v>
      </c>
      <c r="N55" s="456" t="str">
        <f t="shared" si="8"/>
        <v>EPA</v>
      </c>
    </row>
    <row r="57" spans="7:14">
      <c r="G57" s="25"/>
    </row>
    <row r="58" spans="7:14" ht="16" thickBot="1">
      <c r="G58" s="25"/>
      <c r="I58" s="463" t="s">
        <v>1530</v>
      </c>
    </row>
    <row r="59" spans="7:14" ht="46.5" thickBot="1">
      <c r="G59" s="25"/>
      <c r="I59" s="434" t="s">
        <v>211</v>
      </c>
      <c r="J59" s="435" t="s">
        <v>339</v>
      </c>
      <c r="K59" s="435" t="s">
        <v>1535</v>
      </c>
      <c r="L59" s="435" t="s">
        <v>341</v>
      </c>
      <c r="M59" s="436" t="s">
        <v>1538</v>
      </c>
      <c r="N59" s="437" t="s">
        <v>1537</v>
      </c>
    </row>
    <row r="60" spans="7:14">
      <c r="G60" s="25"/>
      <c r="I60" s="438" t="s">
        <v>215</v>
      </c>
      <c r="J60" s="28"/>
      <c r="K60" s="28"/>
      <c r="L60" s="28"/>
      <c r="M60" s="458"/>
      <c r="N60" s="440"/>
    </row>
    <row r="61" spans="7:14">
      <c r="G61" s="25"/>
      <c r="I61" s="441" t="s">
        <v>392</v>
      </c>
      <c r="J61" s="459">
        <f>K202*0.95</f>
        <v>3.3145499889894901E-3</v>
      </c>
      <c r="K61" s="459">
        <f>0.0016*$C$90</f>
        <v>3.527396192E-3</v>
      </c>
      <c r="L61" s="459"/>
      <c r="M61" s="460">
        <f t="shared" ref="M61:M73" si="9">(IF(K61&gt;0,K61,(IF(J61&gt;0,J61,L61))))</f>
        <v>3.527396192E-3</v>
      </c>
      <c r="N61" s="444" t="str">
        <f t="shared" ref="N61:N73" si="10">IF(M61=J61,"IPCC",(IF(M61=K61,"EPA",(IF(M61=L61,"Average")))))</f>
        <v>EPA</v>
      </c>
    </row>
    <row r="62" spans="7:14">
      <c r="G62" s="25"/>
      <c r="I62" s="441" t="s">
        <v>393</v>
      </c>
      <c r="J62" s="459">
        <f>K203*0.95</f>
        <v>3.3145499889894901E-3</v>
      </c>
      <c r="K62" s="459">
        <f>0.0016*$C$90</f>
        <v>3.527396192E-3</v>
      </c>
      <c r="L62" s="459"/>
      <c r="M62" s="460">
        <f t="shared" si="9"/>
        <v>3.527396192E-3</v>
      </c>
      <c r="N62" s="444" t="str">
        <f t="shared" si="10"/>
        <v>EPA</v>
      </c>
    </row>
    <row r="63" spans="7:14">
      <c r="I63" s="441" t="s">
        <v>381</v>
      </c>
      <c r="J63" s="459">
        <f>K204*0.95</f>
        <v>1.3258199955957961E-3</v>
      </c>
      <c r="K63" s="459">
        <f>0.0006*$C$90</f>
        <v>1.3227735719999998E-3</v>
      </c>
      <c r="L63" s="459"/>
      <c r="M63" s="460">
        <f t="shared" si="9"/>
        <v>1.3227735719999998E-3</v>
      </c>
      <c r="N63" s="444" t="str">
        <f t="shared" si="10"/>
        <v>EPA</v>
      </c>
    </row>
    <row r="64" spans="7:14">
      <c r="G64" s="138"/>
      <c r="I64" s="441" t="s">
        <v>380</v>
      </c>
      <c r="J64" s="459">
        <f>K205*0.9</f>
        <v>2.0933999930459942E-4</v>
      </c>
      <c r="K64" s="459">
        <f>0.0001*$C$90</f>
        <v>2.20462262E-4</v>
      </c>
      <c r="L64" s="459"/>
      <c r="M64" s="460">
        <f t="shared" si="9"/>
        <v>2.20462262E-4</v>
      </c>
      <c r="N64" s="444" t="str">
        <f t="shared" si="10"/>
        <v>EPA</v>
      </c>
    </row>
    <row r="65" spans="7:14">
      <c r="I65" s="441" t="s">
        <v>394</v>
      </c>
      <c r="J65" s="459">
        <f>K207*0.95</f>
        <v>8.838799970638642E-3</v>
      </c>
      <c r="K65" s="459"/>
      <c r="L65" s="459"/>
      <c r="M65" s="460">
        <f t="shared" si="9"/>
        <v>8.838799970638642E-3</v>
      </c>
      <c r="N65" s="444" t="str">
        <f t="shared" si="10"/>
        <v>IPCC</v>
      </c>
    </row>
    <row r="66" spans="7:14">
      <c r="I66" s="441" t="s">
        <v>395</v>
      </c>
      <c r="J66" s="459"/>
      <c r="K66" s="459"/>
      <c r="L66" s="459">
        <f>AVERAGE(M61:M65,M67:M73,M76:M79,M81:M83)</f>
        <v>4.0930358207813284E-3</v>
      </c>
      <c r="M66" s="460">
        <f t="shared" si="9"/>
        <v>4.0930358207813284E-3</v>
      </c>
      <c r="N66" s="444" t="str">
        <f t="shared" si="10"/>
        <v>Average</v>
      </c>
    </row>
    <row r="67" spans="7:14">
      <c r="G67" s="25"/>
      <c r="I67" s="441" t="s">
        <v>390</v>
      </c>
      <c r="J67" s="459">
        <f t="shared" ref="J67:J73" si="11">K209*0.95</f>
        <v>8.838799970638642E-3</v>
      </c>
      <c r="K67" s="459">
        <f>0.0042*$C$90</f>
        <v>9.2594150039999983E-3</v>
      </c>
      <c r="L67" s="459"/>
      <c r="M67" s="460">
        <f t="shared" si="9"/>
        <v>9.2594150039999983E-3</v>
      </c>
      <c r="N67" s="444" t="str">
        <f t="shared" si="10"/>
        <v>EPA</v>
      </c>
    </row>
    <row r="68" spans="7:14">
      <c r="I68" s="441" t="s">
        <v>383</v>
      </c>
      <c r="J68" s="459">
        <f t="shared" si="11"/>
        <v>1.3258199955957961E-3</v>
      </c>
      <c r="K68" s="459">
        <f>0.0006*$C$90</f>
        <v>1.3227735719999998E-3</v>
      </c>
      <c r="L68" s="459"/>
      <c r="M68" s="460">
        <f t="shared" si="9"/>
        <v>1.3227735719999998E-3</v>
      </c>
      <c r="N68" s="444" t="str">
        <f t="shared" si="10"/>
        <v>EPA</v>
      </c>
    </row>
    <row r="69" spans="7:14">
      <c r="I69" s="441" t="s">
        <v>382</v>
      </c>
      <c r="J69" s="459">
        <f t="shared" si="11"/>
        <v>1.3258199955957961E-3</v>
      </c>
      <c r="K69" s="459">
        <f>0.0006*$C$90</f>
        <v>1.3227735719999998E-3</v>
      </c>
      <c r="L69" s="459"/>
      <c r="M69" s="460">
        <f t="shared" si="9"/>
        <v>1.3227735719999998E-3</v>
      </c>
      <c r="N69" s="444" t="str">
        <f t="shared" si="10"/>
        <v>EPA</v>
      </c>
    </row>
    <row r="70" spans="7:14">
      <c r="I70" s="441" t="s">
        <v>384</v>
      </c>
      <c r="J70" s="459">
        <f t="shared" si="11"/>
        <v>1.3258199955957961E-3</v>
      </c>
      <c r="K70" s="459">
        <f>0.0006*$C$90</f>
        <v>1.3227735719999998E-3</v>
      </c>
      <c r="L70" s="459"/>
      <c r="M70" s="460">
        <f t="shared" si="9"/>
        <v>1.3227735719999998E-3</v>
      </c>
      <c r="N70" s="444" t="str">
        <f t="shared" si="10"/>
        <v>EPA</v>
      </c>
    </row>
    <row r="71" spans="7:14">
      <c r="I71" s="441" t="s">
        <v>385</v>
      </c>
      <c r="J71" s="459">
        <f t="shared" si="11"/>
        <v>1.3258199955957961E-3</v>
      </c>
      <c r="K71" s="459">
        <f>0.0006*$C$90</f>
        <v>1.3227735719999998E-3</v>
      </c>
      <c r="L71" s="459"/>
      <c r="M71" s="460">
        <f t="shared" si="9"/>
        <v>1.3227735719999998E-3</v>
      </c>
      <c r="N71" s="444" t="str">
        <f t="shared" si="10"/>
        <v>EPA</v>
      </c>
    </row>
    <row r="72" spans="7:14">
      <c r="I72" s="441" t="s">
        <v>386</v>
      </c>
      <c r="J72" s="459">
        <f t="shared" si="11"/>
        <v>8.838799970638642E-3</v>
      </c>
      <c r="K72" s="459"/>
      <c r="L72" s="459"/>
      <c r="M72" s="460">
        <f t="shared" si="9"/>
        <v>8.838799970638642E-3</v>
      </c>
      <c r="N72" s="444" t="str">
        <f t="shared" si="10"/>
        <v>IPCC</v>
      </c>
    </row>
    <row r="73" spans="7:14">
      <c r="I73" s="441" t="s">
        <v>435</v>
      </c>
      <c r="J73" s="459">
        <f t="shared" si="11"/>
        <v>2.2096999926596604E-4</v>
      </c>
      <c r="K73" s="459">
        <f>0.0001*$C$90</f>
        <v>2.20462262E-4</v>
      </c>
      <c r="L73" s="459"/>
      <c r="M73" s="460">
        <f t="shared" si="9"/>
        <v>2.20462262E-4</v>
      </c>
      <c r="N73" s="444" t="str">
        <f t="shared" si="10"/>
        <v>EPA</v>
      </c>
    </row>
    <row r="74" spans="7:14">
      <c r="I74" s="441"/>
      <c r="J74" s="459"/>
      <c r="K74" s="459"/>
      <c r="L74" s="459"/>
      <c r="M74" s="460"/>
      <c r="N74" s="444"/>
    </row>
    <row r="75" spans="7:14">
      <c r="I75" s="438" t="s">
        <v>221</v>
      </c>
      <c r="J75" s="459"/>
      <c r="K75" s="459"/>
      <c r="L75" s="459"/>
      <c r="M75" s="460"/>
      <c r="N75" s="444"/>
    </row>
    <row r="76" spans="7:14">
      <c r="I76" s="441" t="s">
        <v>388</v>
      </c>
      <c r="J76" s="459">
        <f>K218*0.9</f>
        <v>2.0933999930459942E-4</v>
      </c>
      <c r="K76" s="459">
        <f>0.00063*$C$90</f>
        <v>1.3889122505999999E-3</v>
      </c>
      <c r="L76" s="459"/>
      <c r="M76" s="460">
        <f t="shared" ref="M76:M83" si="12">(IF(K76&gt;0,K76,(IF(J76&gt;0,J76,L76))))</f>
        <v>1.3889122505999999E-3</v>
      </c>
      <c r="N76" s="444" t="str">
        <f t="shared" ref="N76:N83" si="13">IF(M76=J76,"IPCC",(IF(M76=K76,"EPA",(IF(M76=L76,"Average")))))</f>
        <v>EPA</v>
      </c>
    </row>
    <row r="77" spans="7:14">
      <c r="I77" s="441" t="s">
        <v>391</v>
      </c>
      <c r="J77" s="459">
        <f>K219*0.9</f>
        <v>8.3735999721839764E-3</v>
      </c>
      <c r="K77" s="459"/>
      <c r="L77" s="459"/>
      <c r="M77" s="460">
        <f t="shared" si="12"/>
        <v>8.3735999721839764E-3</v>
      </c>
      <c r="N77" s="444" t="str">
        <f t="shared" si="13"/>
        <v>IPCC</v>
      </c>
    </row>
    <row r="78" spans="7:14">
      <c r="I78" s="441" t="s">
        <v>387</v>
      </c>
      <c r="J78" s="459">
        <f>K220*0.9</f>
        <v>4.1867999860919882E-3</v>
      </c>
      <c r="K78" s="459"/>
      <c r="L78" s="459"/>
      <c r="M78" s="460">
        <f t="shared" si="12"/>
        <v>4.1867999860919882E-3</v>
      </c>
      <c r="N78" s="444" t="str">
        <f t="shared" si="13"/>
        <v>IPCC</v>
      </c>
    </row>
    <row r="79" spans="7:14">
      <c r="I79" s="441" t="s">
        <v>396</v>
      </c>
      <c r="J79" s="459">
        <f>K221*0.9</f>
        <v>8.3735999721839764E-3</v>
      </c>
      <c r="K79" s="459">
        <f>0.0036*$C$90</f>
        <v>7.9366414319999995E-3</v>
      </c>
      <c r="L79" s="459"/>
      <c r="M79" s="460">
        <f t="shared" si="12"/>
        <v>7.9366414319999995E-3</v>
      </c>
      <c r="N79" s="444" t="str">
        <f t="shared" si="13"/>
        <v>EPA</v>
      </c>
    </row>
    <row r="80" spans="7:14">
      <c r="I80" s="441" t="s">
        <v>389</v>
      </c>
      <c r="J80" s="459"/>
      <c r="K80" s="459"/>
      <c r="L80" s="459">
        <f>AVERAGE(M61:M65,M67:M73,M76:M79,M81:M83)</f>
        <v>4.0930358207813284E-3</v>
      </c>
      <c r="M80" s="460">
        <f t="shared" si="12"/>
        <v>4.0930358207813284E-3</v>
      </c>
      <c r="N80" s="444" t="str">
        <f t="shared" si="13"/>
        <v>Average</v>
      </c>
    </row>
    <row r="81" spans="1:24">
      <c r="I81" s="441" t="s">
        <v>437</v>
      </c>
      <c r="J81" s="459">
        <f>K222*0.9</f>
        <v>8.3735999721839764E-3</v>
      </c>
      <c r="K81" s="459">
        <f>0.0042*$C$90</f>
        <v>9.2594150039999983E-3</v>
      </c>
      <c r="L81" s="459"/>
      <c r="M81" s="460">
        <f t="shared" si="12"/>
        <v>9.2594150039999983E-3</v>
      </c>
      <c r="N81" s="444" t="str">
        <f t="shared" si="13"/>
        <v>EPA</v>
      </c>
    </row>
    <row r="82" spans="1:24">
      <c r="I82" s="441" t="s">
        <v>2508</v>
      </c>
      <c r="J82" s="459">
        <f>K220*0.9</f>
        <v>4.1867999860919882E-3</v>
      </c>
      <c r="K82" s="459"/>
      <c r="L82" s="459"/>
      <c r="M82" s="460">
        <f t="shared" si="12"/>
        <v>4.1867999860919882E-3</v>
      </c>
      <c r="N82" s="444" t="str">
        <f t="shared" si="13"/>
        <v>IPCC</v>
      </c>
    </row>
    <row r="83" spans="1:24" ht="13" thickBot="1">
      <c r="I83" s="453" t="s">
        <v>436</v>
      </c>
      <c r="J83" s="461">
        <f>K223*0.9</f>
        <v>2.0933999930459942E-4</v>
      </c>
      <c r="K83" s="461">
        <f>0.00063*$C$90</f>
        <v>1.3889122505999999E-3</v>
      </c>
      <c r="L83" s="461"/>
      <c r="M83" s="462">
        <f t="shared" si="12"/>
        <v>1.3889122505999999E-3</v>
      </c>
      <c r="N83" s="456" t="str">
        <f t="shared" si="13"/>
        <v>EPA</v>
      </c>
    </row>
    <row r="85" spans="1:24">
      <c r="I85" s="81"/>
      <c r="J85" s="81"/>
    </row>
    <row r="86" spans="1:24">
      <c r="A86" s="464"/>
      <c r="B86" s="464"/>
      <c r="C86" s="464"/>
      <c r="D86" s="464"/>
      <c r="E86" s="464"/>
      <c r="F86" s="464"/>
      <c r="G86" s="464"/>
      <c r="H86" s="464"/>
      <c r="I86" s="465"/>
      <c r="J86" s="465"/>
      <c r="K86" s="464"/>
      <c r="L86" s="464"/>
      <c r="M86" s="464"/>
      <c r="N86" s="464"/>
      <c r="O86" s="464"/>
      <c r="P86" s="464"/>
      <c r="Q86" s="464"/>
      <c r="R86" s="464"/>
      <c r="S86" s="464"/>
      <c r="T86" s="464"/>
      <c r="U86" s="464"/>
      <c r="V86" s="464"/>
      <c r="W86" s="464"/>
      <c r="X86" s="464"/>
    </row>
    <row r="87" spans="1:24">
      <c r="I87" s="81"/>
      <c r="J87" s="81"/>
      <c r="N87" s="20" t="s">
        <v>3356</v>
      </c>
    </row>
    <row r="88" spans="1:24" ht="14.5" thickBot="1">
      <c r="B88" s="41" t="s">
        <v>1536</v>
      </c>
      <c r="E88" s="675" t="s">
        <v>3677</v>
      </c>
      <c r="N88" s="20" t="s">
        <v>3073</v>
      </c>
    </row>
    <row r="89" spans="1:24" ht="14">
      <c r="B89" s="615" t="s">
        <v>1526</v>
      </c>
      <c r="C89" s="616">
        <v>1055.05585</v>
      </c>
      <c r="D89" s="617" t="s">
        <v>1527</v>
      </c>
      <c r="E89" s="20" t="s">
        <v>3071</v>
      </c>
      <c r="N89" s="466" t="s">
        <v>3072</v>
      </c>
    </row>
    <row r="90" spans="1:24" ht="14.5" thickBot="1">
      <c r="B90" s="618" t="s">
        <v>1524</v>
      </c>
      <c r="C90" s="619">
        <v>2.2046226199999999</v>
      </c>
      <c r="D90" s="620" t="s">
        <v>1523</v>
      </c>
      <c r="E90" s="466" t="s">
        <v>3070</v>
      </c>
    </row>
    <row r="91" spans="1:24">
      <c r="D91" s="20" t="s">
        <v>1416</v>
      </c>
      <c r="E91" s="466" t="s">
        <v>1552</v>
      </c>
      <c r="N91" s="20" t="s">
        <v>401</v>
      </c>
    </row>
    <row r="92" spans="1:24" ht="14">
      <c r="B92" s="41" t="s">
        <v>1531</v>
      </c>
      <c r="D92" s="20" t="s">
        <v>1417</v>
      </c>
      <c r="E92" s="466" t="s">
        <v>1553</v>
      </c>
      <c r="N92" s="466" t="s">
        <v>400</v>
      </c>
    </row>
    <row r="93" spans="1:24" ht="14">
      <c r="B93" s="467" t="s">
        <v>1416</v>
      </c>
      <c r="C93" s="468"/>
      <c r="D93" s="468"/>
      <c r="E93" s="469"/>
      <c r="G93" s="467" t="s">
        <v>1417</v>
      </c>
      <c r="H93" s="470"/>
      <c r="I93" s="469"/>
    </row>
    <row r="94" spans="1:24" ht="39">
      <c r="B94" s="467" t="s">
        <v>1418</v>
      </c>
      <c r="C94" s="471" t="s">
        <v>1419</v>
      </c>
      <c r="D94" s="471" t="s">
        <v>1420</v>
      </c>
      <c r="E94" s="472"/>
      <c r="F94" s="473"/>
      <c r="G94" s="471" t="s">
        <v>1418</v>
      </c>
      <c r="H94" s="471" t="s">
        <v>1421</v>
      </c>
      <c r="I94" s="471" t="s">
        <v>1422</v>
      </c>
    </row>
    <row r="95" spans="1:24" ht="14">
      <c r="B95" s="474" t="s">
        <v>1423</v>
      </c>
      <c r="C95" s="474" t="s">
        <v>1424</v>
      </c>
      <c r="D95" s="474" t="s">
        <v>1425</v>
      </c>
      <c r="E95" s="475"/>
      <c r="G95" s="468" t="s">
        <v>1426</v>
      </c>
      <c r="H95" s="468" t="s">
        <v>1427</v>
      </c>
      <c r="I95" s="468" t="s">
        <v>1428</v>
      </c>
    </row>
    <row r="96" spans="1:24" ht="14">
      <c r="B96" s="468" t="s">
        <v>1429</v>
      </c>
      <c r="C96" s="468">
        <v>25.09</v>
      </c>
      <c r="D96" s="468">
        <v>103.69</v>
      </c>
      <c r="E96" s="475"/>
      <c r="G96" s="468" t="s">
        <v>1430</v>
      </c>
      <c r="H96" s="468" t="s">
        <v>1431</v>
      </c>
      <c r="I96" s="468" t="s">
        <v>1432</v>
      </c>
    </row>
    <row r="97" spans="2:24" ht="14">
      <c r="B97" s="468" t="s">
        <v>1433</v>
      </c>
      <c r="C97" s="468">
        <v>24.93</v>
      </c>
      <c r="D97" s="468">
        <v>93.28</v>
      </c>
      <c r="E97" s="475"/>
      <c r="G97" s="468" t="s">
        <v>1434</v>
      </c>
      <c r="H97" s="468" t="s">
        <v>1435</v>
      </c>
      <c r="I97" s="468" t="s">
        <v>1436</v>
      </c>
    </row>
    <row r="98" spans="2:24" ht="15" customHeight="1">
      <c r="B98" s="468" t="s">
        <v>1437</v>
      </c>
      <c r="C98" s="468">
        <v>17.25</v>
      </c>
      <c r="D98" s="468">
        <v>97.17</v>
      </c>
      <c r="E98" s="475"/>
      <c r="G98" s="468" t="s">
        <v>1438</v>
      </c>
      <c r="H98" s="468" t="s">
        <v>1435</v>
      </c>
      <c r="I98" s="468" t="s">
        <v>1436</v>
      </c>
    </row>
    <row r="99" spans="2:24" ht="14">
      <c r="B99" s="468" t="s">
        <v>1439</v>
      </c>
      <c r="C99" s="468">
        <v>14.21</v>
      </c>
      <c r="D99" s="468">
        <v>97.72</v>
      </c>
      <c r="E99" s="475"/>
      <c r="G99" s="468" t="s">
        <v>1440</v>
      </c>
      <c r="H99" s="468" t="s">
        <v>1441</v>
      </c>
      <c r="I99" s="468" t="s">
        <v>1442</v>
      </c>
    </row>
    <row r="100" spans="2:24" ht="15" customHeight="1">
      <c r="B100" s="468" t="s">
        <v>1443</v>
      </c>
      <c r="C100" s="468">
        <v>24.8</v>
      </c>
      <c r="D100" s="468">
        <v>113.67</v>
      </c>
      <c r="E100" s="475"/>
      <c r="G100" s="468" t="s">
        <v>1444</v>
      </c>
      <c r="H100" s="468" t="s">
        <v>1441</v>
      </c>
      <c r="I100" s="468" t="s">
        <v>1442</v>
      </c>
    </row>
    <row r="101" spans="2:24" ht="14">
      <c r="B101" s="468" t="s">
        <v>1445</v>
      </c>
      <c r="C101" s="468">
        <v>21.39</v>
      </c>
      <c r="D101" s="468">
        <v>94.27</v>
      </c>
      <c r="E101" s="475"/>
      <c r="G101" s="468" t="s">
        <v>1446</v>
      </c>
      <c r="H101" s="468" t="s">
        <v>1447</v>
      </c>
      <c r="I101" s="468" t="s">
        <v>1432</v>
      </c>
    </row>
    <row r="102" spans="2:24" ht="14">
      <c r="B102" s="468" t="s">
        <v>1448</v>
      </c>
      <c r="C102" s="468">
        <v>26.28</v>
      </c>
      <c r="D102" s="468">
        <v>93.9</v>
      </c>
      <c r="E102" s="475"/>
      <c r="G102" s="468" t="s">
        <v>1449</v>
      </c>
      <c r="H102" s="468" t="s">
        <v>1450</v>
      </c>
      <c r="I102" s="468" t="s">
        <v>1432</v>
      </c>
    </row>
    <row r="103" spans="2:24" ht="14">
      <c r="B103" s="468" t="s">
        <v>1451</v>
      </c>
      <c r="C103" s="468">
        <v>22.35</v>
      </c>
      <c r="D103" s="468">
        <v>94.67</v>
      </c>
      <c r="E103" s="475"/>
      <c r="G103" s="468" t="s">
        <v>1452</v>
      </c>
      <c r="H103" s="468" t="s">
        <v>1441</v>
      </c>
      <c r="I103" s="468" t="s">
        <v>1442</v>
      </c>
    </row>
    <row r="104" spans="2:24" ht="14">
      <c r="B104" s="468" t="s">
        <v>1453</v>
      </c>
      <c r="C104" s="468">
        <v>19.73</v>
      </c>
      <c r="D104" s="468">
        <v>95.52</v>
      </c>
      <c r="E104" s="475"/>
      <c r="G104" s="468" t="s">
        <v>1454</v>
      </c>
      <c r="H104" s="468" t="s">
        <v>1455</v>
      </c>
      <c r="I104" s="468" t="s">
        <v>1456</v>
      </c>
    </row>
    <row r="105" spans="2:24" ht="14">
      <c r="B105" s="474" t="s">
        <v>1273</v>
      </c>
      <c r="C105" s="474" t="s">
        <v>1457</v>
      </c>
      <c r="D105" s="474" t="s">
        <v>1425</v>
      </c>
      <c r="E105" s="475"/>
      <c r="G105" s="468" t="s">
        <v>1458</v>
      </c>
      <c r="H105" s="468" t="s">
        <v>1459</v>
      </c>
      <c r="I105" s="468" t="s">
        <v>1460</v>
      </c>
    </row>
    <row r="106" spans="2:24" ht="14">
      <c r="B106" s="468" t="s">
        <v>1461</v>
      </c>
      <c r="C106" s="468" t="s">
        <v>1462</v>
      </c>
      <c r="D106" s="468">
        <v>53.06</v>
      </c>
      <c r="E106" s="475"/>
      <c r="G106" s="468" t="s">
        <v>1463</v>
      </c>
      <c r="H106" s="468" t="s">
        <v>1464</v>
      </c>
      <c r="I106" s="468" t="s">
        <v>1465</v>
      </c>
    </row>
    <row r="107" spans="2:24" ht="14">
      <c r="B107" s="474" t="s">
        <v>1466</v>
      </c>
      <c r="C107" s="474" t="s">
        <v>1467</v>
      </c>
      <c r="D107" s="474" t="s">
        <v>1425</v>
      </c>
      <c r="E107" s="475"/>
      <c r="I107" s="476"/>
    </row>
    <row r="108" spans="2:24" ht="15" customHeight="1">
      <c r="B108" s="468" t="s">
        <v>1468</v>
      </c>
      <c r="C108" s="468">
        <v>0.13900000000000001</v>
      </c>
      <c r="D108" s="468">
        <v>73.25</v>
      </c>
      <c r="E108" s="475"/>
    </row>
    <row r="109" spans="2:24" ht="14">
      <c r="B109" s="468" t="s">
        <v>1469</v>
      </c>
      <c r="C109" s="468">
        <v>0.13800000000000001</v>
      </c>
      <c r="D109" s="468">
        <v>73.959999999999994</v>
      </c>
      <c r="E109" s="475"/>
    </row>
    <row r="110" spans="2:24" ht="14">
      <c r="B110" s="468" t="s">
        <v>1470</v>
      </c>
      <c r="C110" s="468">
        <v>0.14599999999999999</v>
      </c>
      <c r="D110" s="468">
        <v>75.040000000000006</v>
      </c>
      <c r="E110" s="475"/>
      <c r="H110" s="675" t="s">
        <v>3678</v>
      </c>
    </row>
    <row r="111" spans="2:24" ht="14">
      <c r="B111" s="468" t="s">
        <v>1471</v>
      </c>
      <c r="C111" s="468">
        <v>0.14000000000000001</v>
      </c>
      <c r="D111" s="468">
        <v>72.930000000000007</v>
      </c>
      <c r="E111" s="475"/>
      <c r="H111" s="477" t="s">
        <v>1532</v>
      </c>
      <c r="I111" s="125"/>
      <c r="J111" s="125"/>
      <c r="K111" s="125"/>
      <c r="L111" s="125"/>
    </row>
    <row r="112" spans="2:24" ht="14">
      <c r="B112" s="468" t="s">
        <v>1472</v>
      </c>
      <c r="C112" s="468">
        <v>0.15</v>
      </c>
      <c r="D112" s="468">
        <v>75.099999999999994</v>
      </c>
      <c r="E112" s="475"/>
      <c r="H112" s="478" t="s">
        <v>2089</v>
      </c>
      <c r="I112" s="479" t="s">
        <v>1563</v>
      </c>
      <c r="J112" s="125"/>
      <c r="K112" s="125"/>
      <c r="L112" s="125"/>
      <c r="X112" s="118"/>
    </row>
    <row r="113" spans="2:12" ht="41">
      <c r="B113" s="468" t="s">
        <v>1473</v>
      </c>
      <c r="C113" s="468">
        <v>0.13800000000000001</v>
      </c>
      <c r="D113" s="468">
        <v>74</v>
      </c>
      <c r="E113" s="475"/>
      <c r="H113" s="646" t="s">
        <v>3679</v>
      </c>
      <c r="I113" s="125"/>
      <c r="J113" s="125"/>
      <c r="K113" s="125"/>
      <c r="L113" s="125"/>
    </row>
    <row r="114" spans="2:12" ht="15" customHeight="1">
      <c r="B114" s="468" t="s">
        <v>1474</v>
      </c>
      <c r="C114" s="468">
        <v>0.13500000000000001</v>
      </c>
      <c r="D114" s="468">
        <v>75.2</v>
      </c>
      <c r="E114" s="475"/>
      <c r="H114" s="866" t="s">
        <v>2090</v>
      </c>
      <c r="I114" s="866"/>
      <c r="J114" s="866"/>
      <c r="K114" s="866"/>
      <c r="L114" s="866"/>
    </row>
    <row r="115" spans="2:12" ht="39">
      <c r="B115" s="468" t="s">
        <v>1475</v>
      </c>
      <c r="C115" s="468">
        <v>9.1999999999999998E-2</v>
      </c>
      <c r="D115" s="468">
        <v>61.71</v>
      </c>
      <c r="E115" s="475"/>
      <c r="H115" s="480" t="s">
        <v>2091</v>
      </c>
      <c r="I115" s="480" t="s">
        <v>2092</v>
      </c>
      <c r="J115" s="481" t="s">
        <v>2093</v>
      </c>
      <c r="K115" s="482" t="s">
        <v>2094</v>
      </c>
      <c r="L115" s="483" t="s">
        <v>2095</v>
      </c>
    </row>
    <row r="116" spans="2:12" ht="14">
      <c r="B116" s="468" t="s">
        <v>1476</v>
      </c>
      <c r="C116" s="468">
        <v>9.0999999999999998E-2</v>
      </c>
      <c r="D116" s="468">
        <v>62.87</v>
      </c>
      <c r="E116" s="475"/>
      <c r="H116" s="144" t="s">
        <v>2096</v>
      </c>
      <c r="I116" s="484" t="s">
        <v>43</v>
      </c>
      <c r="J116" s="485">
        <v>93.24</v>
      </c>
      <c r="K116" s="486">
        <f t="shared" ref="K116:K127" si="14">J116*2.20462</f>
        <v>205.55876879999997</v>
      </c>
      <c r="L116" s="144" t="s">
        <v>1176</v>
      </c>
    </row>
    <row r="117" spans="2:12" ht="14">
      <c r="B117" s="468" t="s">
        <v>1477</v>
      </c>
      <c r="C117" s="468">
        <v>9.0999999999999998E-2</v>
      </c>
      <c r="D117" s="468">
        <v>67.77</v>
      </c>
      <c r="E117" s="475"/>
      <c r="H117" s="144" t="s">
        <v>2097</v>
      </c>
      <c r="I117" s="484" t="s">
        <v>46</v>
      </c>
      <c r="J117" s="485">
        <v>74.14</v>
      </c>
      <c r="K117" s="486">
        <f t="shared" si="14"/>
        <v>163.45052679999998</v>
      </c>
      <c r="L117" s="144" t="s">
        <v>1176</v>
      </c>
    </row>
    <row r="118" spans="2:12" s="28" customFormat="1">
      <c r="B118" s="468" t="s">
        <v>1478</v>
      </c>
      <c r="C118" s="468">
        <v>6.8000000000000005E-2</v>
      </c>
      <c r="D118" s="468">
        <v>59.6</v>
      </c>
      <c r="E118" s="487"/>
      <c r="H118" s="144" t="s">
        <v>2098</v>
      </c>
      <c r="I118" s="484" t="s">
        <v>2099</v>
      </c>
      <c r="J118" s="485">
        <v>11.81</v>
      </c>
      <c r="K118" s="486">
        <f t="shared" si="14"/>
        <v>26.036562199999999</v>
      </c>
      <c r="L118" s="144" t="s">
        <v>1176</v>
      </c>
    </row>
    <row r="119" spans="2:12" ht="14">
      <c r="B119" s="468" t="s">
        <v>1479</v>
      </c>
      <c r="C119" s="468">
        <v>8.4000000000000005E-2</v>
      </c>
      <c r="D119" s="468">
        <v>68.44</v>
      </c>
      <c r="E119" s="475"/>
      <c r="H119" s="144" t="s">
        <v>2100</v>
      </c>
      <c r="I119" s="484" t="s">
        <v>66</v>
      </c>
      <c r="J119" s="485">
        <v>72.233329999999995</v>
      </c>
      <c r="K119" s="486">
        <f t="shared" si="14"/>
        <v>159.24704398459997</v>
      </c>
      <c r="L119" s="144" t="s">
        <v>1176</v>
      </c>
    </row>
    <row r="120" spans="2:12" ht="15" customHeight="1">
      <c r="B120" s="468" t="s">
        <v>1480</v>
      </c>
      <c r="C120" s="468">
        <v>5.8000000000000003E-2</v>
      </c>
      <c r="D120" s="468">
        <v>65.959999999999994</v>
      </c>
      <c r="E120" s="475"/>
      <c r="H120" s="144" t="s">
        <v>1474</v>
      </c>
      <c r="I120" s="484" t="s">
        <v>76</v>
      </c>
      <c r="J120" s="485">
        <v>73.186660000000003</v>
      </c>
      <c r="K120" s="486">
        <f t="shared" si="14"/>
        <v>161.34877436919999</v>
      </c>
      <c r="L120" s="144" t="s">
        <v>1176</v>
      </c>
    </row>
    <row r="121" spans="2:12" ht="14">
      <c r="B121" s="468" t="s">
        <v>1481</v>
      </c>
      <c r="C121" s="468">
        <v>9.9000000000000005E-2</v>
      </c>
      <c r="D121" s="468">
        <v>64.94</v>
      </c>
      <c r="E121" s="475"/>
      <c r="H121" s="144" t="s">
        <v>2101</v>
      </c>
      <c r="I121" s="484" t="s">
        <v>2102</v>
      </c>
      <c r="J121" s="485">
        <v>98.156700000000001</v>
      </c>
      <c r="K121" s="486">
        <f t="shared" si="14"/>
        <v>216.39822395399997</v>
      </c>
      <c r="L121" s="144" t="s">
        <v>1176</v>
      </c>
    </row>
    <row r="122" spans="2:12" ht="15" customHeight="1">
      <c r="B122" s="468" t="s">
        <v>1482</v>
      </c>
      <c r="C122" s="468">
        <v>0.10299999999999999</v>
      </c>
      <c r="D122" s="468">
        <v>68.86</v>
      </c>
      <c r="E122" s="475"/>
      <c r="H122" s="144" t="s">
        <v>1440</v>
      </c>
      <c r="I122" s="484" t="s">
        <v>2103</v>
      </c>
      <c r="J122" s="485">
        <v>41.69</v>
      </c>
      <c r="K122" s="486">
        <f t="shared" si="14"/>
        <v>91.91060779999998</v>
      </c>
      <c r="L122" s="144" t="s">
        <v>1176</v>
      </c>
    </row>
    <row r="123" spans="2:12" ht="14">
      <c r="B123" s="468" t="s">
        <v>1483</v>
      </c>
      <c r="C123" s="468">
        <v>0.10299999999999999</v>
      </c>
      <c r="D123" s="468">
        <v>64.77</v>
      </c>
      <c r="E123" s="475"/>
      <c r="H123" s="144" t="s">
        <v>1430</v>
      </c>
      <c r="I123" s="484" t="s">
        <v>39</v>
      </c>
      <c r="J123" s="485">
        <v>52.91</v>
      </c>
      <c r="K123" s="486">
        <f t="shared" si="14"/>
        <v>116.64644419999998</v>
      </c>
      <c r="L123" s="144" t="s">
        <v>1176</v>
      </c>
    </row>
    <row r="124" spans="2:12" ht="14">
      <c r="B124" s="468" t="s">
        <v>1484</v>
      </c>
      <c r="C124" s="468">
        <v>0.105</v>
      </c>
      <c r="D124" s="468">
        <v>68.72</v>
      </c>
      <c r="E124" s="475"/>
      <c r="H124" s="144" t="s">
        <v>1490</v>
      </c>
      <c r="I124" s="484" t="s">
        <v>65</v>
      </c>
      <c r="J124" s="485">
        <v>102.11666</v>
      </c>
      <c r="K124" s="486">
        <f t="shared" si="14"/>
        <v>225.12843096919997</v>
      </c>
      <c r="L124" s="144" t="s">
        <v>1176</v>
      </c>
    </row>
    <row r="125" spans="2:12" ht="14">
      <c r="B125" s="468" t="s">
        <v>1485</v>
      </c>
      <c r="C125" s="468">
        <v>0.125</v>
      </c>
      <c r="D125" s="468">
        <v>68.02</v>
      </c>
      <c r="E125" s="475"/>
      <c r="H125" s="144" t="s">
        <v>1505</v>
      </c>
      <c r="I125" s="484" t="s">
        <v>426</v>
      </c>
      <c r="J125" s="485">
        <v>62.883330000000001</v>
      </c>
      <c r="K125" s="486">
        <f t="shared" si="14"/>
        <v>138.63384698459998</v>
      </c>
      <c r="L125" s="144" t="s">
        <v>1176</v>
      </c>
    </row>
    <row r="126" spans="2:12" ht="50.5">
      <c r="B126" s="468" t="s">
        <v>1486</v>
      </c>
      <c r="C126" s="468">
        <v>0.11</v>
      </c>
      <c r="D126" s="468">
        <v>66.88</v>
      </c>
      <c r="E126" s="475"/>
      <c r="H126" s="144" t="s">
        <v>2104</v>
      </c>
      <c r="I126" s="484" t="s">
        <v>2105</v>
      </c>
      <c r="J126" s="485">
        <v>93.24</v>
      </c>
      <c r="K126" s="486">
        <f t="shared" si="14"/>
        <v>205.55876879999997</v>
      </c>
      <c r="L126" s="144" t="s">
        <v>399</v>
      </c>
    </row>
    <row r="127" spans="2:12" ht="14">
      <c r="B127" s="468" t="s">
        <v>1487</v>
      </c>
      <c r="C127" s="468">
        <v>0.13900000000000001</v>
      </c>
      <c r="D127" s="468">
        <v>76.22</v>
      </c>
      <c r="E127" s="475"/>
      <c r="H127" s="144" t="s">
        <v>2106</v>
      </c>
      <c r="I127" s="484" t="s">
        <v>61</v>
      </c>
      <c r="J127" s="485">
        <v>75.093329999999995</v>
      </c>
      <c r="K127" s="486">
        <f t="shared" si="14"/>
        <v>165.55225718459997</v>
      </c>
      <c r="L127" s="144" t="s">
        <v>1176</v>
      </c>
    </row>
    <row r="128" spans="2:12" ht="50.5">
      <c r="B128" s="468" t="s">
        <v>1488</v>
      </c>
      <c r="C128" s="468">
        <v>0.11</v>
      </c>
      <c r="D128" s="468">
        <v>70.02</v>
      </c>
      <c r="E128" s="475"/>
      <c r="H128" s="144" t="s">
        <v>2107</v>
      </c>
      <c r="I128" s="484" t="s">
        <v>2108</v>
      </c>
      <c r="J128" s="485" t="s">
        <v>2109</v>
      </c>
      <c r="K128" s="486"/>
      <c r="L128" s="144" t="s">
        <v>2110</v>
      </c>
    </row>
    <row r="129" spans="2:12" ht="50.5">
      <c r="B129" s="468" t="s">
        <v>1489</v>
      </c>
      <c r="C129" s="468">
        <v>0.125</v>
      </c>
      <c r="D129" s="468">
        <v>71.02</v>
      </c>
      <c r="E129" s="475"/>
      <c r="H129" s="144" t="s">
        <v>2111</v>
      </c>
      <c r="I129" s="484" t="s">
        <v>2112</v>
      </c>
      <c r="J129" s="485" t="s">
        <v>2109</v>
      </c>
      <c r="K129" s="486"/>
      <c r="L129" s="144" t="s">
        <v>2110</v>
      </c>
    </row>
    <row r="130" spans="2:12" ht="14">
      <c r="B130" s="468" t="s">
        <v>1490</v>
      </c>
      <c r="C130" s="468">
        <v>0.14299999999999999</v>
      </c>
      <c r="D130" s="468">
        <v>102.41</v>
      </c>
      <c r="E130" s="475"/>
      <c r="H130" s="144" t="s">
        <v>2113</v>
      </c>
      <c r="I130" s="484" t="s">
        <v>48</v>
      </c>
      <c r="J130" s="485">
        <v>97.13</v>
      </c>
      <c r="K130" s="486">
        <f>J130*2.20462</f>
        <v>214.13474059999996</v>
      </c>
      <c r="L130" s="144" t="s">
        <v>1176</v>
      </c>
    </row>
    <row r="131" spans="2:12" ht="14">
      <c r="B131" s="468" t="s">
        <v>1491</v>
      </c>
      <c r="C131" s="468">
        <v>0.125</v>
      </c>
      <c r="D131" s="468">
        <v>72.34</v>
      </c>
      <c r="E131" s="475"/>
      <c r="H131" s="144" t="s">
        <v>2114</v>
      </c>
      <c r="I131" s="484" t="s">
        <v>402</v>
      </c>
      <c r="J131" s="485">
        <v>85.97</v>
      </c>
      <c r="K131" s="486">
        <f>J131*2.20462</f>
        <v>189.53118139999998</v>
      </c>
      <c r="L131" s="144" t="s">
        <v>1176</v>
      </c>
    </row>
    <row r="132" spans="2:12" ht="50.5">
      <c r="B132" s="468" t="s">
        <v>1492</v>
      </c>
      <c r="C132" s="468">
        <v>0.13900000000000001</v>
      </c>
      <c r="D132" s="468">
        <v>74.540000000000006</v>
      </c>
      <c r="E132" s="475"/>
      <c r="H132" s="144" t="s">
        <v>2115</v>
      </c>
      <c r="I132" s="484" t="s">
        <v>2116</v>
      </c>
      <c r="J132" s="485">
        <v>93.24</v>
      </c>
      <c r="K132" s="486">
        <f>J132*2.20462</f>
        <v>205.55876879999997</v>
      </c>
      <c r="L132" s="144" t="s">
        <v>399</v>
      </c>
    </row>
    <row r="133" spans="2:12" ht="14">
      <c r="B133" s="468" t="s">
        <v>1493</v>
      </c>
      <c r="C133" s="468">
        <v>0.14799999999999999</v>
      </c>
      <c r="D133" s="468">
        <v>74.92</v>
      </c>
      <c r="E133" s="475"/>
      <c r="H133" s="144" t="s">
        <v>2117</v>
      </c>
      <c r="I133" s="484" t="s">
        <v>73</v>
      </c>
      <c r="J133" s="485">
        <v>74</v>
      </c>
      <c r="K133" s="486">
        <f>J133*2.20462</f>
        <v>163.14187999999999</v>
      </c>
      <c r="L133" s="144" t="s">
        <v>1176</v>
      </c>
    </row>
    <row r="134" spans="2:12" ht="15" customHeight="1">
      <c r="B134" s="468" t="s">
        <v>1494</v>
      </c>
      <c r="C134" s="468">
        <v>0.14399999999999999</v>
      </c>
      <c r="D134" s="468">
        <v>74.27</v>
      </c>
      <c r="E134" s="475"/>
      <c r="H134" s="867" t="s">
        <v>2118</v>
      </c>
      <c r="I134" s="867"/>
      <c r="J134" s="867"/>
      <c r="K134" s="867"/>
      <c r="L134" s="867"/>
    </row>
    <row r="135" spans="2:12" ht="14">
      <c r="B135" s="468" t="s">
        <v>1495</v>
      </c>
      <c r="C135" s="468">
        <v>0.125</v>
      </c>
      <c r="D135" s="468">
        <v>70.22</v>
      </c>
      <c r="E135" s="475"/>
      <c r="H135" s="125" t="s">
        <v>2119</v>
      </c>
      <c r="I135" s="125"/>
      <c r="J135" s="125"/>
      <c r="K135" s="125"/>
      <c r="L135" s="125"/>
    </row>
    <row r="136" spans="2:12" ht="14">
      <c r="B136" s="468" t="s">
        <v>1496</v>
      </c>
      <c r="C136" s="468">
        <v>0.12</v>
      </c>
      <c r="D136" s="468">
        <v>69.25</v>
      </c>
      <c r="E136" s="475"/>
      <c r="H136" s="488" t="s">
        <v>2120</v>
      </c>
      <c r="I136" s="489"/>
      <c r="J136" s="489"/>
      <c r="K136" s="490"/>
      <c r="L136" s="125"/>
    </row>
    <row r="137" spans="2:12" ht="14">
      <c r="B137" s="468" t="s">
        <v>1497</v>
      </c>
      <c r="C137" s="468">
        <v>0.13500000000000001</v>
      </c>
      <c r="D137" s="468">
        <v>72.22</v>
      </c>
      <c r="E137" s="475"/>
      <c r="H137" s="491"/>
      <c r="I137" s="492"/>
      <c r="J137" s="492"/>
      <c r="K137" s="493"/>
      <c r="L137" s="125"/>
    </row>
    <row r="138" spans="2:12" ht="14">
      <c r="B138" s="468" t="s">
        <v>1498</v>
      </c>
      <c r="C138" s="468">
        <v>0.158</v>
      </c>
      <c r="D138" s="468">
        <v>75.36</v>
      </c>
      <c r="E138" s="475"/>
      <c r="I138" s="494"/>
    </row>
    <row r="139" spans="2:12" ht="15.75" customHeight="1">
      <c r="B139" s="468" t="s">
        <v>1499</v>
      </c>
      <c r="C139" s="468">
        <v>0.13800000000000001</v>
      </c>
      <c r="D139" s="468">
        <v>74.540000000000006</v>
      </c>
      <c r="E139" s="475"/>
      <c r="I139" s="847"/>
      <c r="J139" s="847"/>
      <c r="K139" s="847"/>
    </row>
    <row r="140" spans="2:12" ht="14">
      <c r="B140" s="474" t="s">
        <v>1500</v>
      </c>
      <c r="C140" s="474" t="s">
        <v>1424</v>
      </c>
      <c r="D140" s="474" t="s">
        <v>1425</v>
      </c>
      <c r="E140" s="475"/>
      <c r="I140" s="847"/>
      <c r="J140" s="847"/>
      <c r="K140" s="847"/>
    </row>
    <row r="141" spans="2:12" ht="14">
      <c r="B141" s="468" t="s">
        <v>1440</v>
      </c>
      <c r="C141" s="468">
        <v>9.9529999999999994</v>
      </c>
      <c r="D141" s="468">
        <v>90.7</v>
      </c>
      <c r="E141" s="475"/>
      <c r="I141" s="847"/>
      <c r="J141" s="847"/>
      <c r="K141" s="847"/>
    </row>
    <row r="142" spans="2:12" ht="14">
      <c r="B142" s="468" t="s">
        <v>1444</v>
      </c>
      <c r="C142" s="468">
        <v>28</v>
      </c>
      <c r="D142" s="468">
        <v>85.97</v>
      </c>
      <c r="E142" s="475"/>
      <c r="I142" s="847"/>
      <c r="J142" s="847"/>
      <c r="K142" s="847"/>
    </row>
    <row r="143" spans="2:12" ht="14">
      <c r="B143" s="468" t="s">
        <v>1501</v>
      </c>
      <c r="C143" s="468">
        <v>38</v>
      </c>
      <c r="D143" s="468">
        <v>75</v>
      </c>
      <c r="E143" s="475"/>
      <c r="I143" s="847"/>
      <c r="J143" s="847"/>
      <c r="K143" s="847"/>
    </row>
    <row r="144" spans="2:12" ht="14">
      <c r="B144" s="468" t="s">
        <v>1490</v>
      </c>
      <c r="C144" s="468">
        <v>30</v>
      </c>
      <c r="D144" s="468">
        <v>102.41</v>
      </c>
      <c r="E144" s="475"/>
    </row>
    <row r="145" spans="2:11" ht="14.5" thickBot="1">
      <c r="B145" s="474" t="s">
        <v>1502</v>
      </c>
      <c r="C145" s="474" t="s">
        <v>1457</v>
      </c>
      <c r="D145" s="474" t="s">
        <v>1425</v>
      </c>
      <c r="E145" s="475"/>
      <c r="I145" s="40" t="s">
        <v>1542</v>
      </c>
    </row>
    <row r="146" spans="2:11" ht="23.5">
      <c r="B146" s="468" t="s">
        <v>1446</v>
      </c>
      <c r="C146" s="468" t="s">
        <v>1503</v>
      </c>
      <c r="D146" s="468">
        <v>274.32</v>
      </c>
      <c r="E146" s="475"/>
      <c r="I146" s="434" t="s">
        <v>211</v>
      </c>
      <c r="J146" s="435" t="s">
        <v>325</v>
      </c>
      <c r="K146" s="495" t="s">
        <v>326</v>
      </c>
    </row>
    <row r="147" spans="2:11" ht="14">
      <c r="B147" s="468" t="s">
        <v>1449</v>
      </c>
      <c r="C147" s="468" t="s">
        <v>1504</v>
      </c>
      <c r="D147" s="468">
        <v>46.85</v>
      </c>
      <c r="E147" s="475"/>
      <c r="I147" s="438" t="s">
        <v>215</v>
      </c>
      <c r="J147" s="28"/>
      <c r="K147" s="496"/>
    </row>
    <row r="148" spans="2:11" ht="14">
      <c r="B148" s="468" t="s">
        <v>1505</v>
      </c>
      <c r="C148" s="468" t="s">
        <v>1506</v>
      </c>
      <c r="D148" s="468">
        <v>61.46</v>
      </c>
      <c r="E148" s="475"/>
      <c r="I148" s="441" t="s">
        <v>392</v>
      </c>
      <c r="J148" s="80">
        <v>94600</v>
      </c>
      <c r="K148" s="497">
        <f>J148*$C$90*$C$89/1000000</f>
        <v>220.03959926905674</v>
      </c>
    </row>
    <row r="149" spans="2:11" ht="14">
      <c r="B149" s="468" t="s">
        <v>1507</v>
      </c>
      <c r="C149" s="468" t="s">
        <v>1508</v>
      </c>
      <c r="D149" s="468">
        <v>59</v>
      </c>
      <c r="E149" s="475"/>
      <c r="I149" s="441" t="s">
        <v>393</v>
      </c>
      <c r="J149" s="80">
        <v>96100</v>
      </c>
      <c r="K149" s="497">
        <f>J149*$C$90*$C$89/1000000</f>
        <v>223.52859925746671</v>
      </c>
    </row>
    <row r="150" spans="2:11" ht="14">
      <c r="B150" s="474" t="s">
        <v>1509</v>
      </c>
      <c r="C150" s="474" t="s">
        <v>1424</v>
      </c>
      <c r="D150" s="474" t="s">
        <v>1425</v>
      </c>
      <c r="E150" s="475"/>
      <c r="I150" s="441" t="s">
        <v>381</v>
      </c>
      <c r="J150" s="80"/>
      <c r="K150" s="497"/>
    </row>
    <row r="151" spans="2:11" ht="14">
      <c r="B151" s="468" t="s">
        <v>1510</v>
      </c>
      <c r="C151" s="468">
        <v>17.48</v>
      </c>
      <c r="D151" s="468">
        <v>93.8</v>
      </c>
      <c r="E151" s="475"/>
      <c r="I151" s="441" t="s">
        <v>380</v>
      </c>
      <c r="J151" s="80">
        <v>56100</v>
      </c>
      <c r="K151" s="497">
        <f>J151*$C$90*$C$89/1000000</f>
        <v>130.48859956653362</v>
      </c>
    </row>
    <row r="152" spans="2:11" ht="14">
      <c r="B152" s="468" t="s">
        <v>1511</v>
      </c>
      <c r="C152" s="468">
        <v>8.25</v>
      </c>
      <c r="D152" s="468">
        <v>118.17</v>
      </c>
      <c r="E152" s="475"/>
      <c r="I152" s="441" t="s">
        <v>389</v>
      </c>
      <c r="J152" s="80"/>
      <c r="K152" s="497"/>
    </row>
    <row r="153" spans="2:11" ht="14">
      <c r="B153" s="468" t="s">
        <v>1512</v>
      </c>
      <c r="C153" s="468">
        <v>8</v>
      </c>
      <c r="D153" s="468">
        <v>111.84</v>
      </c>
      <c r="E153" s="475"/>
      <c r="I153" s="441" t="s">
        <v>394</v>
      </c>
      <c r="J153" s="80">
        <v>91700</v>
      </c>
      <c r="K153" s="497">
        <f>J153*$C$90*$C$89/1000000</f>
        <v>213.29419929146405</v>
      </c>
    </row>
    <row r="154" spans="2:11" ht="14">
      <c r="B154" s="468" t="s">
        <v>1513</v>
      </c>
      <c r="C154" s="468">
        <v>10.39</v>
      </c>
      <c r="D154" s="468">
        <v>105.51</v>
      </c>
      <c r="E154" s="475"/>
      <c r="I154" s="441" t="s">
        <v>395</v>
      </c>
      <c r="J154" s="80"/>
      <c r="K154" s="497"/>
    </row>
    <row r="155" spans="2:11" ht="14">
      <c r="B155" s="474" t="s">
        <v>1514</v>
      </c>
      <c r="C155" s="474" t="s">
        <v>1457</v>
      </c>
      <c r="D155" s="474" t="s">
        <v>1425</v>
      </c>
      <c r="E155" s="475"/>
      <c r="I155" s="441" t="s">
        <v>390</v>
      </c>
      <c r="J155" s="80"/>
      <c r="K155" s="497"/>
    </row>
    <row r="156" spans="2:11" ht="14">
      <c r="B156" s="468" t="s">
        <v>1515</v>
      </c>
      <c r="C156" s="468" t="s">
        <v>1516</v>
      </c>
      <c r="D156" s="468">
        <v>52.07</v>
      </c>
      <c r="E156" s="475"/>
      <c r="I156" s="441" t="s">
        <v>383</v>
      </c>
      <c r="J156" s="80">
        <v>97500</v>
      </c>
      <c r="K156" s="497">
        <f>J156*$C$90*$C$89/1000000</f>
        <v>226.78499924664936</v>
      </c>
    </row>
    <row r="157" spans="2:11" ht="14">
      <c r="B157" s="468" t="s">
        <v>1517</v>
      </c>
      <c r="C157" s="468" t="s">
        <v>1518</v>
      </c>
      <c r="D157" s="468">
        <v>52.07</v>
      </c>
      <c r="E157" s="475"/>
      <c r="I157" s="441" t="s">
        <v>382</v>
      </c>
      <c r="J157" s="80">
        <v>77400</v>
      </c>
      <c r="K157" s="497">
        <f>J157*$C$90*$C$89/1000000</f>
        <v>180.03239940195547</v>
      </c>
    </row>
    <row r="158" spans="2:11" ht="14">
      <c r="B158" s="474" t="s">
        <v>1519</v>
      </c>
      <c r="C158" s="474" t="s">
        <v>1467</v>
      </c>
      <c r="D158" s="474" t="s">
        <v>1425</v>
      </c>
      <c r="E158" s="475"/>
      <c r="I158" s="441" t="s">
        <v>384</v>
      </c>
      <c r="J158" s="80">
        <v>71500</v>
      </c>
      <c r="K158" s="497">
        <f>J158*$C$90*$C$89/1000000</f>
        <v>166.30899944754287</v>
      </c>
    </row>
    <row r="159" spans="2:11" ht="14">
      <c r="B159" s="468" t="s">
        <v>1479</v>
      </c>
      <c r="C159" s="468">
        <v>8.4000000000000005E-2</v>
      </c>
      <c r="D159" s="468">
        <v>68.44</v>
      </c>
      <c r="E159" s="475"/>
      <c r="I159" s="441" t="s">
        <v>385</v>
      </c>
      <c r="J159" s="80">
        <v>71900</v>
      </c>
      <c r="K159" s="497">
        <f>J159*$C$90*$C$89/1000000</f>
        <v>167.23939944445218</v>
      </c>
    </row>
    <row r="160" spans="2:11" ht="14">
      <c r="B160" s="468" t="s">
        <v>1520</v>
      </c>
      <c r="C160" s="468">
        <v>0.128</v>
      </c>
      <c r="D160" s="468">
        <v>73.84</v>
      </c>
      <c r="E160" s="475"/>
      <c r="I160" s="441" t="s">
        <v>386</v>
      </c>
      <c r="J160" s="80">
        <v>73300</v>
      </c>
      <c r="K160" s="497">
        <f>J160*$C$90*$C$89/1000000</f>
        <v>170.49579943363486</v>
      </c>
    </row>
    <row r="161" spans="2:11" ht="14">
      <c r="B161" s="468" t="s">
        <v>1521</v>
      </c>
      <c r="C161" s="468">
        <v>0.125</v>
      </c>
      <c r="D161" s="468">
        <v>71.06</v>
      </c>
      <c r="E161" s="475"/>
      <c r="I161" s="441" t="s">
        <v>435</v>
      </c>
      <c r="K161" s="102"/>
    </row>
    <row r="162" spans="2:11" ht="14">
      <c r="B162" s="468" t="s">
        <v>1522</v>
      </c>
      <c r="C162" s="468">
        <v>0.12</v>
      </c>
      <c r="D162" s="468">
        <v>81.55</v>
      </c>
      <c r="E162" s="475"/>
      <c r="I162" s="441"/>
      <c r="J162" s="80"/>
      <c r="K162" s="497"/>
    </row>
    <row r="163" spans="2:11">
      <c r="I163" s="438" t="s">
        <v>221</v>
      </c>
      <c r="J163" s="80"/>
      <c r="K163" s="497"/>
    </row>
    <row r="164" spans="2:11">
      <c r="I164" s="441" t="s">
        <v>388</v>
      </c>
      <c r="J164" s="80">
        <v>54600</v>
      </c>
      <c r="K164" s="497">
        <f t="shared" ref="K164:K169" si="15">J164*$C$90*$C$89/1000000</f>
        <v>126.99959957812365</v>
      </c>
    </row>
    <row r="165" spans="2:11">
      <c r="I165" s="441" t="s">
        <v>391</v>
      </c>
      <c r="J165" s="80">
        <v>100000</v>
      </c>
      <c r="K165" s="497">
        <f t="shared" si="15"/>
        <v>232.59999922733269</v>
      </c>
    </row>
    <row r="166" spans="2:11">
      <c r="I166" s="441" t="s">
        <v>387</v>
      </c>
      <c r="J166" s="80">
        <v>95300</v>
      </c>
      <c r="K166" s="497">
        <f t="shared" si="15"/>
        <v>221.66779926364802</v>
      </c>
    </row>
    <row r="167" spans="2:11">
      <c r="I167" s="441" t="s">
        <v>396</v>
      </c>
      <c r="J167" s="80">
        <v>112000</v>
      </c>
      <c r="K167" s="497">
        <f t="shared" si="15"/>
        <v>260.51199913461261</v>
      </c>
    </row>
    <row r="168" spans="2:11">
      <c r="I168" s="441" t="s">
        <v>437</v>
      </c>
      <c r="J168" s="80">
        <v>100000</v>
      </c>
      <c r="K168" s="497">
        <f t="shared" si="15"/>
        <v>232.59999922733269</v>
      </c>
    </row>
    <row r="169" spans="2:11" ht="13" thickBot="1">
      <c r="I169" s="453" t="s">
        <v>436</v>
      </c>
      <c r="J169" s="498">
        <v>54600</v>
      </c>
      <c r="K169" s="499">
        <f t="shared" si="15"/>
        <v>126.99959957812365</v>
      </c>
    </row>
    <row r="172" spans="2:11" ht="13.5" thickBot="1">
      <c r="I172" s="40" t="s">
        <v>1543</v>
      </c>
    </row>
    <row r="173" spans="2:11" ht="23">
      <c r="I173" s="434" t="s">
        <v>211</v>
      </c>
      <c r="J173" s="435" t="s">
        <v>213</v>
      </c>
      <c r="K173" s="495" t="s">
        <v>337</v>
      </c>
    </row>
    <row r="174" spans="2:11">
      <c r="I174" s="438" t="s">
        <v>215</v>
      </c>
      <c r="J174" s="28"/>
      <c r="K174" s="496"/>
    </row>
    <row r="175" spans="2:11">
      <c r="I175" s="441" t="s">
        <v>392</v>
      </c>
      <c r="J175" s="28">
        <v>1</v>
      </c>
      <c r="K175" s="500">
        <f>J175*$C$90*$C$89/1000000</f>
        <v>2.3259999922733269E-3</v>
      </c>
    </row>
    <row r="176" spans="2:11">
      <c r="I176" s="441" t="s">
        <v>393</v>
      </c>
      <c r="J176" s="28">
        <v>1</v>
      </c>
      <c r="K176" s="500">
        <f>J176*$C$90*$C$89/1000000</f>
        <v>2.3259999922733269E-3</v>
      </c>
    </row>
    <row r="177" spans="9:11">
      <c r="I177" s="441" t="s">
        <v>381</v>
      </c>
      <c r="J177" s="28">
        <v>3</v>
      </c>
      <c r="K177" s="500">
        <f>J177*$C$90*$C$89/1000000</f>
        <v>6.9779999768199794E-3</v>
      </c>
    </row>
    <row r="178" spans="9:11">
      <c r="I178" s="441" t="s">
        <v>380</v>
      </c>
      <c r="J178" s="28">
        <v>1</v>
      </c>
      <c r="K178" s="500">
        <f>J178*$C$90*$C$89/1000000</f>
        <v>2.3259999922733269E-3</v>
      </c>
    </row>
    <row r="179" spans="9:11">
      <c r="I179" s="441" t="s">
        <v>389</v>
      </c>
      <c r="J179" s="28"/>
      <c r="K179" s="500"/>
    </row>
    <row r="180" spans="9:11">
      <c r="I180" s="441" t="s">
        <v>394</v>
      </c>
      <c r="J180" s="28">
        <v>30</v>
      </c>
      <c r="K180" s="500">
        <f>J180*$C$90*$C$89/1000000</f>
        <v>6.9779999768199791E-2</v>
      </c>
    </row>
    <row r="181" spans="9:11">
      <c r="I181" s="441" t="s">
        <v>395</v>
      </c>
      <c r="J181" s="28"/>
      <c r="K181" s="500"/>
    </row>
    <row r="182" spans="9:11">
      <c r="I182" s="441" t="s">
        <v>390</v>
      </c>
      <c r="J182" s="28">
        <v>30</v>
      </c>
      <c r="K182" s="500">
        <f t="shared" ref="K182:K188" si="16">J182*$C$90*$C$89/1000000</f>
        <v>6.9779999768199791E-2</v>
      </c>
    </row>
    <row r="183" spans="9:11">
      <c r="I183" s="441" t="s">
        <v>383</v>
      </c>
      <c r="J183" s="28">
        <v>3</v>
      </c>
      <c r="K183" s="500">
        <f t="shared" si="16"/>
        <v>6.9779999768199794E-3</v>
      </c>
    </row>
    <row r="184" spans="9:11">
      <c r="I184" s="441" t="s">
        <v>382</v>
      </c>
      <c r="J184" s="28">
        <v>3</v>
      </c>
      <c r="K184" s="500">
        <f t="shared" si="16"/>
        <v>6.9779999768199794E-3</v>
      </c>
    </row>
    <row r="185" spans="9:11">
      <c r="I185" s="441" t="s">
        <v>384</v>
      </c>
      <c r="J185" s="28">
        <v>3</v>
      </c>
      <c r="K185" s="500">
        <f t="shared" si="16"/>
        <v>6.9779999768199794E-3</v>
      </c>
    </row>
    <row r="186" spans="9:11">
      <c r="I186" s="441" t="s">
        <v>385</v>
      </c>
      <c r="J186" s="28">
        <v>3</v>
      </c>
      <c r="K186" s="500">
        <f t="shared" si="16"/>
        <v>6.9779999768199794E-3</v>
      </c>
    </row>
    <row r="187" spans="9:11">
      <c r="I187" s="441" t="s">
        <v>386</v>
      </c>
      <c r="J187" s="28">
        <v>30</v>
      </c>
      <c r="K187" s="500">
        <f t="shared" si="16"/>
        <v>6.9779999768199791E-2</v>
      </c>
    </row>
    <row r="188" spans="9:11">
      <c r="I188" s="441" t="s">
        <v>435</v>
      </c>
      <c r="J188" s="28">
        <v>1</v>
      </c>
      <c r="K188" s="500">
        <f t="shared" si="16"/>
        <v>2.3259999922733269E-3</v>
      </c>
    </row>
    <row r="189" spans="9:11">
      <c r="I189" s="441"/>
      <c r="J189" s="28"/>
      <c r="K189" s="500"/>
    </row>
    <row r="190" spans="9:11">
      <c r="I190" s="438" t="s">
        <v>221</v>
      </c>
      <c r="J190" s="28"/>
      <c r="K190" s="500"/>
    </row>
    <row r="191" spans="9:11">
      <c r="I191" s="441" t="s">
        <v>388</v>
      </c>
      <c r="J191" s="28">
        <v>1</v>
      </c>
      <c r="K191" s="500">
        <f t="shared" ref="K191:K196" si="17">J191*$C$90*$C$89/1000000</f>
        <v>2.3259999922733269E-3</v>
      </c>
    </row>
    <row r="192" spans="9:11">
      <c r="I192" s="441" t="s">
        <v>391</v>
      </c>
      <c r="J192" s="28">
        <v>30</v>
      </c>
      <c r="K192" s="500">
        <f t="shared" si="17"/>
        <v>6.9779999768199791E-2</v>
      </c>
    </row>
    <row r="193" spans="9:11">
      <c r="I193" s="441" t="s">
        <v>387</v>
      </c>
      <c r="J193" s="28">
        <v>3</v>
      </c>
      <c r="K193" s="500">
        <f t="shared" si="17"/>
        <v>6.9779999768199794E-3</v>
      </c>
    </row>
    <row r="194" spans="9:11">
      <c r="I194" s="441" t="s">
        <v>396</v>
      </c>
      <c r="J194" s="28">
        <v>30</v>
      </c>
      <c r="K194" s="500">
        <f t="shared" si="17"/>
        <v>6.9779999768199791E-2</v>
      </c>
    </row>
    <row r="195" spans="9:11">
      <c r="I195" s="441" t="s">
        <v>437</v>
      </c>
      <c r="J195" s="28">
        <v>30</v>
      </c>
      <c r="K195" s="500">
        <f t="shared" si="17"/>
        <v>6.9779999768199791E-2</v>
      </c>
    </row>
    <row r="196" spans="9:11" ht="13" thickBot="1">
      <c r="I196" s="453" t="s">
        <v>436</v>
      </c>
      <c r="J196" s="501">
        <v>1</v>
      </c>
      <c r="K196" s="502">
        <f t="shared" si="17"/>
        <v>2.3259999922733269E-3</v>
      </c>
    </row>
    <row r="199" spans="9:11" ht="13.5" thickBot="1">
      <c r="I199" s="40" t="s">
        <v>1544</v>
      </c>
    </row>
    <row r="200" spans="9:11" ht="23">
      <c r="I200" s="434" t="s">
        <v>211</v>
      </c>
      <c r="J200" s="435" t="s">
        <v>1545</v>
      </c>
      <c r="K200" s="495" t="s">
        <v>1534</v>
      </c>
    </row>
    <row r="201" spans="9:11">
      <c r="I201" s="438" t="s">
        <v>215</v>
      </c>
      <c r="J201" s="28"/>
      <c r="K201" s="496"/>
    </row>
    <row r="202" spans="9:11">
      <c r="I202" s="441" t="s">
        <v>392</v>
      </c>
      <c r="J202" s="28">
        <v>1.5</v>
      </c>
      <c r="K202" s="500">
        <f>J202*$C$90*$C$89/1000000</f>
        <v>3.4889999884099897E-3</v>
      </c>
    </row>
    <row r="203" spans="9:11">
      <c r="I203" s="441" t="s">
        <v>393</v>
      </c>
      <c r="J203" s="28">
        <v>1.5</v>
      </c>
      <c r="K203" s="500">
        <f>J203*$C$90*$C$89/1000000</f>
        <v>3.4889999884099897E-3</v>
      </c>
    </row>
    <row r="204" spans="9:11">
      <c r="I204" s="441" t="s">
        <v>381</v>
      </c>
      <c r="J204" s="28">
        <v>0.6</v>
      </c>
      <c r="K204" s="500">
        <f>J204*$C$90*$C$89/1000000</f>
        <v>1.3955999953639961E-3</v>
      </c>
    </row>
    <row r="205" spans="9:11">
      <c r="I205" s="441" t="s">
        <v>380</v>
      </c>
      <c r="J205" s="28">
        <v>0.1</v>
      </c>
      <c r="K205" s="500">
        <f>J205*$C$90*$C$89/1000000</f>
        <v>2.3259999922733269E-4</v>
      </c>
    </row>
    <row r="206" spans="9:11">
      <c r="I206" s="441" t="s">
        <v>389</v>
      </c>
      <c r="J206" s="28"/>
      <c r="K206" s="500"/>
    </row>
    <row r="207" spans="9:11">
      <c r="I207" s="441" t="s">
        <v>394</v>
      </c>
      <c r="J207" s="28">
        <v>4</v>
      </c>
      <c r="K207" s="500">
        <f>J207*$C$90*$C$89/1000000</f>
        <v>9.3039999690933076E-3</v>
      </c>
    </row>
    <row r="208" spans="9:11">
      <c r="I208" s="441" t="s">
        <v>395</v>
      </c>
      <c r="J208" s="28"/>
      <c r="K208" s="500"/>
    </row>
    <row r="209" spans="9:11">
      <c r="I209" s="441" t="s">
        <v>390</v>
      </c>
      <c r="J209" s="28">
        <v>4</v>
      </c>
      <c r="K209" s="500">
        <f t="shared" ref="K209:K215" si="18">J209*$C$90*$C$89/1000000</f>
        <v>9.3039999690933076E-3</v>
      </c>
    </row>
    <row r="210" spans="9:11">
      <c r="I210" s="441" t="s">
        <v>383</v>
      </c>
      <c r="J210" s="28">
        <v>0.6</v>
      </c>
      <c r="K210" s="500">
        <f t="shared" si="18"/>
        <v>1.3955999953639961E-3</v>
      </c>
    </row>
    <row r="211" spans="9:11">
      <c r="I211" s="441" t="s">
        <v>382</v>
      </c>
      <c r="J211" s="28">
        <v>0.6</v>
      </c>
      <c r="K211" s="500">
        <f t="shared" si="18"/>
        <v>1.3955999953639961E-3</v>
      </c>
    </row>
    <row r="212" spans="9:11">
      <c r="I212" s="441" t="s">
        <v>384</v>
      </c>
      <c r="J212" s="28">
        <v>0.6</v>
      </c>
      <c r="K212" s="500">
        <f t="shared" si="18"/>
        <v>1.3955999953639961E-3</v>
      </c>
    </row>
    <row r="213" spans="9:11">
      <c r="I213" s="441" t="s">
        <v>385</v>
      </c>
      <c r="J213" s="28">
        <v>0.6</v>
      </c>
      <c r="K213" s="500">
        <f t="shared" si="18"/>
        <v>1.3955999953639961E-3</v>
      </c>
    </row>
    <row r="214" spans="9:11">
      <c r="I214" s="441" t="s">
        <v>386</v>
      </c>
      <c r="J214" s="28">
        <v>4</v>
      </c>
      <c r="K214" s="500">
        <f t="shared" si="18"/>
        <v>9.3039999690933076E-3</v>
      </c>
    </row>
    <row r="215" spans="9:11">
      <c r="I215" s="441" t="s">
        <v>435</v>
      </c>
      <c r="J215" s="28">
        <v>0.1</v>
      </c>
      <c r="K215" s="500">
        <f t="shared" si="18"/>
        <v>2.3259999922733269E-4</v>
      </c>
    </row>
    <row r="216" spans="9:11">
      <c r="I216" s="441"/>
      <c r="J216" s="28"/>
      <c r="K216" s="500"/>
    </row>
    <row r="217" spans="9:11">
      <c r="I217" s="438" t="s">
        <v>221</v>
      </c>
      <c r="J217" s="28"/>
      <c r="K217" s="500"/>
    </row>
    <row r="218" spans="9:11">
      <c r="I218" s="441" t="s">
        <v>388</v>
      </c>
      <c r="J218" s="28">
        <v>0.1</v>
      </c>
      <c r="K218" s="500">
        <f t="shared" ref="K218:K223" si="19">J218*$C$90*$C$89/1000000</f>
        <v>2.3259999922733269E-4</v>
      </c>
    </row>
    <row r="219" spans="9:11">
      <c r="I219" s="441" t="s">
        <v>391</v>
      </c>
      <c r="J219" s="28">
        <v>4</v>
      </c>
      <c r="K219" s="500">
        <f t="shared" si="19"/>
        <v>9.3039999690933076E-3</v>
      </c>
    </row>
    <row r="220" spans="9:11">
      <c r="I220" s="441" t="s">
        <v>387</v>
      </c>
      <c r="J220" s="28">
        <v>2</v>
      </c>
      <c r="K220" s="500">
        <f t="shared" si="19"/>
        <v>4.6519999845466538E-3</v>
      </c>
    </row>
    <row r="221" spans="9:11">
      <c r="I221" s="441" t="s">
        <v>396</v>
      </c>
      <c r="J221" s="28">
        <v>4</v>
      </c>
      <c r="K221" s="500">
        <f t="shared" si="19"/>
        <v>9.3039999690933076E-3</v>
      </c>
    </row>
    <row r="222" spans="9:11">
      <c r="I222" s="441" t="s">
        <v>437</v>
      </c>
      <c r="J222" s="28">
        <v>4</v>
      </c>
      <c r="K222" s="500">
        <f t="shared" si="19"/>
        <v>9.3039999690933076E-3</v>
      </c>
    </row>
    <row r="223" spans="9:11" ht="13" thickBot="1">
      <c r="I223" s="453" t="s">
        <v>436</v>
      </c>
      <c r="J223" s="501">
        <v>0.1</v>
      </c>
      <c r="K223" s="502">
        <f t="shared" si="19"/>
        <v>2.3259999922733269E-4</v>
      </c>
    </row>
  </sheetData>
  <mergeCells count="6">
    <mergeCell ref="I139:K143"/>
    <mergeCell ref="C4:F8"/>
    <mergeCell ref="B27:G31"/>
    <mergeCell ref="H114:L114"/>
    <mergeCell ref="H134:L134"/>
    <mergeCell ref="B38:G41"/>
  </mergeCells>
  <dataValidations count="1">
    <dataValidation type="list" allowBlank="1" showInputMessage="1" showErrorMessage="1" sqref="C11" xr:uid="{00000000-0002-0000-0900-000000000000}">
      <formula1>$C$14:$C$17</formula1>
    </dataValidation>
  </dataValidations>
  <hyperlinks>
    <hyperlink ref="N92" r:id="rId1" xr:uid="{00000000-0004-0000-0900-000000000000}"/>
    <hyperlink ref="E92" r:id="rId2" xr:uid="{00000000-0004-0000-0900-000001000000}"/>
    <hyperlink ref="E91" r:id="rId3" xr:uid="{00000000-0004-0000-0900-000002000000}"/>
    <hyperlink ref="I112" r:id="rId4" xr:uid="{00000000-0004-0000-0900-000003000000}"/>
    <hyperlink ref="D36" r:id="rId5" display="https://www.epa.gov/sites/production/files/2015-07/documents/catalog_of_chp_technologies_section_6._technology_characterization_-_fuel_cells.pdf" xr:uid="{00000000-0004-0000-0900-000004000000}"/>
  </hyperlinks>
  <pageMargins left="0.7" right="0.7" top="0.75" bottom="0.75" header="0.3" footer="0.3"/>
  <pageSetup scale="34" fitToHeight="0" orientation="landscape"/>
  <drawing r:id="rId6"/>
  <legacyDrawing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15"/>
  <sheetViews>
    <sheetView zoomScaleNormal="100" workbookViewId="0"/>
  </sheetViews>
  <sheetFormatPr defaultColWidth="9.1796875" defaultRowHeight="12.5"/>
  <cols>
    <col min="1" max="1" width="29.453125" style="20" customWidth="1"/>
    <col min="2" max="2" width="38.1796875" style="20" customWidth="1"/>
    <col min="3" max="3" width="35.54296875" style="20" customWidth="1"/>
    <col min="4" max="4" width="31.453125" style="20" customWidth="1"/>
    <col min="5" max="5" width="24.1796875" style="20" customWidth="1"/>
    <col min="6" max="6" width="24.453125" style="20" customWidth="1"/>
    <col min="7" max="7" width="2.1796875" style="20" customWidth="1"/>
    <col min="8" max="8" width="21.54296875" style="20" customWidth="1"/>
    <col min="9" max="9" width="23.453125" style="20" customWidth="1"/>
    <col min="10" max="16384" width="9.1796875" style="20"/>
  </cols>
  <sheetData>
    <row r="1" spans="1:11" ht="20.25" customHeight="1">
      <c r="A1" s="104" t="s">
        <v>2773</v>
      </c>
    </row>
    <row r="2" spans="1:11" ht="13">
      <c r="A2" s="20" t="s">
        <v>2684</v>
      </c>
    </row>
    <row r="3" spans="1:11" ht="13">
      <c r="A3" s="20" t="s">
        <v>2685</v>
      </c>
      <c r="H3" s="25"/>
    </row>
    <row r="4" spans="1:11" ht="13">
      <c r="A4" s="20" t="s">
        <v>2721</v>
      </c>
    </row>
    <row r="5" spans="1:11" ht="13">
      <c r="A5" s="40" t="s">
        <v>3094</v>
      </c>
    </row>
    <row r="6" spans="1:11">
      <c r="A6" s="20" t="s">
        <v>2775</v>
      </c>
    </row>
    <row r="8" spans="1:11" ht="20.25" customHeight="1">
      <c r="A8" s="179"/>
      <c r="H8" s="209" t="s">
        <v>2686</v>
      </c>
    </row>
    <row r="9" spans="1:11" ht="65">
      <c r="A9" s="209" t="s">
        <v>2605</v>
      </c>
      <c r="B9" s="210" t="s">
        <v>2599</v>
      </c>
      <c r="C9" s="199" t="s">
        <v>2583</v>
      </c>
      <c r="D9" s="199" t="s">
        <v>2571</v>
      </c>
      <c r="E9" s="199" t="s">
        <v>2633</v>
      </c>
      <c r="F9" s="200" t="s">
        <v>2598</v>
      </c>
      <c r="G9" s="194"/>
      <c r="H9" s="240" t="s">
        <v>2687</v>
      </c>
      <c r="I9" s="242" t="s">
        <v>2719</v>
      </c>
    </row>
    <row r="10" spans="1:11" ht="45" customHeight="1">
      <c r="B10" s="210" t="s">
        <v>2573</v>
      </c>
      <c r="C10" s="201" t="s">
        <v>2592</v>
      </c>
      <c r="D10" s="183" t="s">
        <v>2593</v>
      </c>
      <c r="E10" s="183" t="s">
        <v>2688</v>
      </c>
      <c r="F10" s="187" t="s">
        <v>2688</v>
      </c>
      <c r="H10" s="241" t="s">
        <v>2591</v>
      </c>
      <c r="I10" s="251" t="s">
        <v>2720</v>
      </c>
    </row>
    <row r="11" spans="1:11" ht="55.5" customHeight="1">
      <c r="B11" s="211" t="s">
        <v>2770</v>
      </c>
      <c r="C11" s="202" t="s">
        <v>3095</v>
      </c>
      <c r="D11" s="184" t="s">
        <v>2778</v>
      </c>
      <c r="E11" s="184" t="s">
        <v>2595</v>
      </c>
      <c r="F11" s="185" t="s">
        <v>2594</v>
      </c>
      <c r="G11" s="188"/>
      <c r="H11" s="241" t="s">
        <v>2596</v>
      </c>
      <c r="I11" s="243" t="s">
        <v>2631</v>
      </c>
    </row>
    <row r="12" spans="1:11" ht="30.75" customHeight="1">
      <c r="B12" s="212" t="s">
        <v>2574</v>
      </c>
      <c r="C12" s="746" t="s">
        <v>3726</v>
      </c>
      <c r="D12" s="188" t="s">
        <v>2618</v>
      </c>
      <c r="E12" s="188" t="s">
        <v>2617</v>
      </c>
      <c r="F12" s="189" t="s">
        <v>2617</v>
      </c>
      <c r="G12" s="188"/>
      <c r="H12" s="236" t="s">
        <v>2583</v>
      </c>
      <c r="I12" s="419" t="s">
        <v>2581</v>
      </c>
      <c r="J12" s="118"/>
      <c r="K12" s="118"/>
    </row>
    <row r="13" spans="1:11" ht="38">
      <c r="B13" s="212" t="s">
        <v>2597</v>
      </c>
      <c r="C13" s="188" t="s">
        <v>2615</v>
      </c>
      <c r="D13" s="188" t="s">
        <v>2616</v>
      </c>
      <c r="E13" s="188" t="s">
        <v>2619</v>
      </c>
      <c r="F13" s="189" t="s">
        <v>2734</v>
      </c>
      <c r="G13" s="188"/>
      <c r="H13" s="241" t="s">
        <v>2584</v>
      </c>
      <c r="I13" s="243" t="s">
        <v>2600</v>
      </c>
    </row>
    <row r="14" spans="1:11" ht="21.75" customHeight="1">
      <c r="B14" s="211" t="s">
        <v>2577</v>
      </c>
      <c r="C14" s="238" t="s">
        <v>2586</v>
      </c>
      <c r="D14" s="244" t="s">
        <v>2587</v>
      </c>
      <c r="E14" s="244" t="s">
        <v>2587</v>
      </c>
      <c r="F14" s="245" t="s">
        <v>2587</v>
      </c>
      <c r="G14" s="188"/>
      <c r="H14" s="237" t="s">
        <v>2585</v>
      </c>
      <c r="I14" s="420" t="s">
        <v>2585</v>
      </c>
    </row>
    <row r="15" spans="1:11">
      <c r="I15" s="197"/>
    </row>
    <row r="16" spans="1:11" ht="13">
      <c r="A16" s="421"/>
      <c r="B16" s="180"/>
      <c r="C16" s="170"/>
      <c r="D16" s="170"/>
      <c r="E16" s="170"/>
      <c r="F16" s="170"/>
      <c r="G16" s="179"/>
      <c r="H16" s="170"/>
      <c r="I16" s="170"/>
    </row>
    <row r="17" spans="1:13" ht="13">
      <c r="A17" s="40" t="s">
        <v>226</v>
      </c>
      <c r="B17" s="179" t="s">
        <v>214</v>
      </c>
      <c r="C17" s="190">
        <f>'Generation CO2e'!B39</f>
        <v>21812810732.788338</v>
      </c>
      <c r="D17" s="190">
        <f>'GIS CO2e'!B35</f>
        <v>82523635.431514114</v>
      </c>
      <c r="E17" s="190">
        <f>'GIS CO2e'!B291</f>
        <v>1864334476.2968428</v>
      </c>
      <c r="F17" s="190">
        <f>'GIS CO2e'!B175</f>
        <v>12286728.741373649</v>
      </c>
      <c r="G17" s="196"/>
      <c r="H17" s="207">
        <f>C17/C54</f>
        <v>506.40318365576303</v>
      </c>
      <c r="I17" s="205">
        <f>IF(E17+F17&gt;C17,0,(C17-E17-F17)/(C54-E55-F56))</f>
        <v>841.46633433297814</v>
      </c>
    </row>
    <row r="18" spans="1:13" ht="13">
      <c r="A18" s="179"/>
      <c r="B18" s="40" t="s">
        <v>220</v>
      </c>
      <c r="C18" s="190">
        <f>'Generation CO2e'!B54</f>
        <v>3084881726.3643193</v>
      </c>
      <c r="D18" s="190">
        <f>'GIS CO2e'!B42</f>
        <v>5529175645.5280714</v>
      </c>
      <c r="E18" s="190">
        <f>'GIS CO2e'!B298</f>
        <v>3109539969.9014649</v>
      </c>
      <c r="F18" s="190">
        <f>'GIS CO2e'!B182</f>
        <v>486518.51171263994</v>
      </c>
      <c r="G18" s="196"/>
      <c r="H18" s="207">
        <f>C18/C54</f>
        <v>71.618185596051433</v>
      </c>
      <c r="I18" s="205">
        <f>IF(E18+F18&gt;C18,0,(C18-E18-F18)/(C54-E55-F56))</f>
        <v>0</v>
      </c>
      <c r="M18" s="178"/>
    </row>
    <row r="19" spans="1:13" ht="13">
      <c r="A19" s="173"/>
      <c r="B19" s="421"/>
      <c r="C19" s="191"/>
      <c r="D19" s="191"/>
      <c r="E19" s="191"/>
      <c r="F19" s="191"/>
      <c r="G19" s="196"/>
      <c r="H19" s="208"/>
      <c r="I19" s="206"/>
      <c r="M19" s="118"/>
    </row>
    <row r="20" spans="1:13" ht="13">
      <c r="A20" s="179" t="s">
        <v>206</v>
      </c>
      <c r="B20" s="179" t="s">
        <v>214</v>
      </c>
      <c r="C20" s="190">
        <f>'Generation CO2e'!B9</f>
        <v>15738892671.010906</v>
      </c>
      <c r="D20" s="190">
        <f>'GIS CO2e'!B17</f>
        <v>-6835753.1749805436</v>
      </c>
      <c r="E20" s="190">
        <f>'GIS CO2e'!B315</f>
        <v>2500018387.0943618</v>
      </c>
      <c r="F20" s="190">
        <f>'GIS CO2e'!B193</f>
        <v>8783054.1923045013</v>
      </c>
      <c r="G20" s="196"/>
      <c r="H20" s="207">
        <f>C20/C59</f>
        <v>735.25612776842502</v>
      </c>
      <c r="I20" s="205">
        <f>IF(E20+F20&gt;C20,0,(C20-E20-F20)/(C59-E60-F61))</f>
        <v>744.90720252869414</v>
      </c>
      <c r="M20" s="118"/>
    </row>
    <row r="21" spans="1:13" ht="13">
      <c r="A21" s="40"/>
      <c r="B21" s="40" t="s">
        <v>220</v>
      </c>
      <c r="C21" s="190">
        <f>'Generation CO2e'!B24</f>
        <v>4114825833.8093505</v>
      </c>
      <c r="D21" s="190">
        <f>'GIS CO2e'!B24</f>
        <v>-32136342.0644047</v>
      </c>
      <c r="E21" s="190">
        <f>'GIS CO2e'!B322</f>
        <v>3737349810.5867233</v>
      </c>
      <c r="F21" s="190">
        <f>'GIS CO2e'!B200</f>
        <v>410846896.97610432</v>
      </c>
      <c r="G21" s="196"/>
      <c r="H21" s="207">
        <f>C21/C59</f>
        <v>192.22768540639777</v>
      </c>
      <c r="I21" s="205">
        <f>IF(E21+F21&gt;C21,0,(C21-E21-F21)/(C59-E60-F61))</f>
        <v>0</v>
      </c>
      <c r="M21" s="118"/>
    </row>
    <row r="22" spans="1:13" ht="13">
      <c r="A22" s="170"/>
      <c r="B22" s="421"/>
      <c r="C22" s="191"/>
      <c r="D22" s="191"/>
      <c r="E22" s="191"/>
      <c r="F22" s="191"/>
      <c r="G22" s="196"/>
      <c r="H22" s="208"/>
      <c r="I22" s="206"/>
      <c r="M22" s="118"/>
    </row>
    <row r="23" spans="1:13" ht="13">
      <c r="A23" s="40" t="s">
        <v>222</v>
      </c>
      <c r="B23" s="179" t="s">
        <v>214</v>
      </c>
      <c r="C23" s="190">
        <f>'Generation CO2e'!B69</f>
        <v>2719151880.5455503</v>
      </c>
      <c r="D23" s="190">
        <f>'GIS CO2e'!B53</f>
        <v>210308547.19377935</v>
      </c>
      <c r="E23" s="190">
        <f>'GIS CO2e'!B339</f>
        <v>232999755.68476653</v>
      </c>
      <c r="F23" s="190">
        <f>'GIS CO2e'!B211</f>
        <v>30900304.054572493</v>
      </c>
      <c r="G23" s="196"/>
      <c r="H23" s="207">
        <f>C23/C64</f>
        <v>297.04521308122685</v>
      </c>
      <c r="I23" s="205">
        <f>IF(E23+F23&gt;C23,0,(C23-E23-F23)/(C64-E65-F66))</f>
        <v>683.72427512643731</v>
      </c>
      <c r="M23" s="118"/>
    </row>
    <row r="24" spans="1:13" ht="13">
      <c r="A24" s="179"/>
      <c r="B24" s="40" t="s">
        <v>220</v>
      </c>
      <c r="C24" s="190">
        <f>'Generation CO2e'!B84</f>
        <v>3023630238.6073103</v>
      </c>
      <c r="D24" s="190">
        <f>'GIS CO2e'!B61</f>
        <v>-2148615070.0514216</v>
      </c>
      <c r="E24" s="190">
        <f>'GIS CO2e'!B347</f>
        <v>261000697.33437103</v>
      </c>
      <c r="F24" s="190">
        <f>'GIS CO2e'!B219</f>
        <v>2337553496.5220766</v>
      </c>
      <c r="G24" s="196"/>
      <c r="H24" s="207">
        <f>C24/C64</f>
        <v>330.30699569666928</v>
      </c>
      <c r="I24" s="205">
        <f>IF(E24+F24&gt;C24,0,(C24-E24-F24)/(C64-E65-F66))</f>
        <v>118.37270951517436</v>
      </c>
    </row>
    <row r="25" spans="1:13" ht="13">
      <c r="A25" s="173"/>
      <c r="B25" s="421"/>
      <c r="C25" s="191"/>
      <c r="D25" s="191"/>
      <c r="E25" s="191"/>
      <c r="F25" s="191"/>
      <c r="G25" s="196"/>
      <c r="H25" s="208"/>
      <c r="I25" s="206"/>
    </row>
    <row r="26" spans="1:13" ht="13">
      <c r="A26" s="179" t="s">
        <v>223</v>
      </c>
      <c r="B26" s="179" t="s">
        <v>214</v>
      </c>
      <c r="C26" s="190">
        <f>'Generation CO2e'!B99</f>
        <v>4854876760.3990622</v>
      </c>
      <c r="D26" s="190">
        <f>'GIS CO2e'!B73</f>
        <v>-189477532.13366637</v>
      </c>
      <c r="E26" s="190">
        <f>'GIS CO2e'!B363</f>
        <v>17923692.707352318</v>
      </c>
      <c r="F26" s="190">
        <f>'GIS CO2e'!B229</f>
        <v>240644226.52065161</v>
      </c>
      <c r="G26" s="196"/>
      <c r="H26" s="207">
        <f>C26/C69</f>
        <v>276.72576153665426</v>
      </c>
      <c r="I26" s="205">
        <f>IF(E26+F26&gt;C26,0,(C26-E26-F26)/(C69-E70-F71))</f>
        <v>439.69060729294557</v>
      </c>
    </row>
    <row r="27" spans="1:13" ht="13">
      <c r="A27" s="40"/>
      <c r="B27" s="40" t="s">
        <v>220</v>
      </c>
      <c r="C27" s="190">
        <f>'Generation CO2e'!B114</f>
        <v>2586400601.8561621</v>
      </c>
      <c r="D27" s="190">
        <f>'GIS CO2e'!B80</f>
        <v>-1206680785.674571</v>
      </c>
      <c r="E27" s="190">
        <f>'GIS CO2e'!B370</f>
        <v>1347978090.6956985</v>
      </c>
      <c r="F27" s="190">
        <f>'GIS CO2e'!B236</f>
        <v>1277345836.6563759</v>
      </c>
      <c r="G27" s="196"/>
      <c r="H27" s="207">
        <f>C27/C69</f>
        <v>147.4236549165619</v>
      </c>
      <c r="I27" s="205">
        <f>IF(E27+F27&gt;C27,0,(C27-E27-F27)/(C69-E70-F71))</f>
        <v>0</v>
      </c>
    </row>
    <row r="28" spans="1:13" ht="13">
      <c r="A28" s="170"/>
      <c r="B28" s="421"/>
      <c r="C28" s="191"/>
      <c r="D28" s="191"/>
      <c r="E28" s="191"/>
      <c r="F28" s="191"/>
      <c r="G28" s="196"/>
      <c r="H28" s="208"/>
      <c r="I28" s="206"/>
    </row>
    <row r="29" spans="1:13" ht="13">
      <c r="A29" s="40" t="s">
        <v>225</v>
      </c>
      <c r="B29" s="179" t="s">
        <v>214</v>
      </c>
      <c r="C29" s="190">
        <f>'Generation CO2e'!B159</f>
        <v>7571198987.0764017</v>
      </c>
      <c r="D29" s="190">
        <f>'GIS CO2e'!B110</f>
        <v>6908007.3602818968</v>
      </c>
      <c r="E29" s="190">
        <f>'GIS CO2e'!B387</f>
        <v>1024679.434029886</v>
      </c>
      <c r="F29" s="190">
        <f>'GIS CO2e'!B247</f>
        <v>170546.34691720371</v>
      </c>
      <c r="G29" s="196"/>
      <c r="H29" s="207">
        <f>C29/C74</f>
        <v>822.95641163873927</v>
      </c>
      <c r="I29" s="205">
        <f>IF(E29+F29&gt;C29,0,(C29-E29-F29)/(C74-E75-F76))</f>
        <v>879.38418525275256</v>
      </c>
    </row>
    <row r="30" spans="1:13" ht="13">
      <c r="A30" s="179"/>
      <c r="B30" s="40" t="s">
        <v>220</v>
      </c>
      <c r="C30" s="190">
        <f>'Generation CO2e'!B174</f>
        <v>235720469.76966795</v>
      </c>
      <c r="D30" s="190">
        <f>'GIS CO2e'!B117</f>
        <v>549694487.8212924</v>
      </c>
      <c r="E30" s="190">
        <f>'GIS CO2e'!B394</f>
        <v>199279368.52893165</v>
      </c>
      <c r="F30" s="190">
        <f>'GIS CO2e'!B254</f>
        <v>33167805.647190548</v>
      </c>
      <c r="G30" s="196"/>
      <c r="H30" s="207">
        <f>C30/C74</f>
        <v>25.621790192355213</v>
      </c>
      <c r="I30" s="205">
        <f>IF(E30+F30&gt;C30,0,(C30-E30-F30)/(C74-E75-F76))</f>
        <v>0.38024873822903699</v>
      </c>
    </row>
    <row r="31" spans="1:13" ht="13">
      <c r="A31" s="173"/>
      <c r="B31" s="421"/>
      <c r="C31" s="191"/>
      <c r="D31" s="191"/>
      <c r="E31" s="191"/>
      <c r="F31" s="191"/>
      <c r="G31" s="196"/>
      <c r="H31" s="208"/>
      <c r="I31" s="206"/>
    </row>
    <row r="32" spans="1:13" ht="13">
      <c r="A32" s="179" t="s">
        <v>224</v>
      </c>
      <c r="B32" s="179" t="s">
        <v>214</v>
      </c>
      <c r="C32" s="190">
        <f>'Generation CO2e'!B189</f>
        <v>29868104.221672252</v>
      </c>
      <c r="D32" s="190">
        <f>'GIS CO2e'!B128</f>
        <v>-7017619.6942410097</v>
      </c>
      <c r="E32" s="190">
        <f>'GIS CO2e'!B411</f>
        <v>51284.335932884787</v>
      </c>
      <c r="F32" s="190">
        <f>'GIS CO2e'!B265</f>
        <v>17182535.63483762</v>
      </c>
      <c r="G32" s="196"/>
      <c r="H32" s="207">
        <f>C32/C79</f>
        <v>14.192076169521341</v>
      </c>
      <c r="I32" s="205">
        <f>IF(E32+F32&gt;C32,0,(C32-E32-F32)/(C79-E80-F81))</f>
        <v>53.011724071203858</v>
      </c>
    </row>
    <row r="33" spans="1:9" ht="13">
      <c r="A33" s="179"/>
      <c r="B33" s="40" t="s">
        <v>220</v>
      </c>
      <c r="C33" s="190">
        <f>'Generation CO2e'!B204</f>
        <v>1551004909.8489716</v>
      </c>
      <c r="D33" s="190">
        <f>'GIS CO2e'!B135</f>
        <v>-1286327096.7161608</v>
      </c>
      <c r="E33" s="190">
        <f>'GIS CO2e'!B418</f>
        <v>9973763.2480216306</v>
      </c>
      <c r="F33" s="190">
        <f>'GIS CO2e'!B272</f>
        <v>1331964586.5503776</v>
      </c>
      <c r="G33" s="196"/>
      <c r="H33" s="207">
        <f>C33/C79</f>
        <v>736.97278061278246</v>
      </c>
      <c r="I33" s="205">
        <f>IF(E33+F33&gt;C33,0,(C33-E33-F33)/(C79-E80-F81))</f>
        <v>877.21461491779314</v>
      </c>
    </row>
    <row r="34" spans="1:9" ht="13">
      <c r="A34" s="173"/>
      <c r="B34" s="421"/>
      <c r="C34" s="422"/>
      <c r="D34" s="422"/>
      <c r="E34" s="422"/>
      <c r="F34" s="422"/>
      <c r="G34" s="117"/>
      <c r="H34" s="423"/>
      <c r="I34" s="423"/>
    </row>
    <row r="35" spans="1:9" ht="13">
      <c r="A35" s="179" t="s">
        <v>227</v>
      </c>
      <c r="B35" s="179" t="s">
        <v>214</v>
      </c>
      <c r="C35" s="190">
        <f>'Generation CO2e'!B129</f>
        <v>59066446832.090042</v>
      </c>
      <c r="D35" s="190">
        <f>'GIS CO2e'!B91</f>
        <v>-61734956.033455461</v>
      </c>
      <c r="E35" s="190"/>
      <c r="F35" s="190"/>
      <c r="G35" s="196"/>
      <c r="H35" s="205">
        <f>C35/C84</f>
        <v>479.89690668203912</v>
      </c>
      <c r="I35" s="203"/>
    </row>
    <row r="36" spans="1:9" ht="13">
      <c r="A36" s="179"/>
      <c r="B36" s="40" t="s">
        <v>220</v>
      </c>
      <c r="C36" s="190">
        <f>'Generation CO2e'!B144</f>
        <v>3929381731.236546</v>
      </c>
      <c r="D36" s="190">
        <f>'GIS CO2e'!B98</f>
        <v>-718223327.74416447</v>
      </c>
      <c r="E36" s="190"/>
      <c r="F36" s="190"/>
      <c r="G36" s="196"/>
      <c r="H36" s="205">
        <f>C36/C84</f>
        <v>31.925030861495102</v>
      </c>
      <c r="I36" s="203"/>
    </row>
    <row r="37" spans="1:9" ht="13">
      <c r="A37" s="421"/>
      <c r="B37" s="421"/>
      <c r="C37" s="191"/>
      <c r="D37" s="191"/>
      <c r="E37" s="191"/>
      <c r="F37" s="191"/>
      <c r="G37" s="196"/>
      <c r="H37" s="206"/>
      <c r="I37" s="204"/>
    </row>
    <row r="38" spans="1:9" ht="13">
      <c r="A38" s="179" t="s">
        <v>229</v>
      </c>
      <c r="B38" s="179" t="s">
        <v>214</v>
      </c>
      <c r="C38" s="190">
        <f>'Generation CO2e'!B229</f>
        <v>7473670681.8000002</v>
      </c>
      <c r="D38" s="190">
        <f>'GIS CO2e'!B160</f>
        <v>0</v>
      </c>
      <c r="E38" s="190"/>
      <c r="F38" s="190"/>
      <c r="G38" s="196"/>
      <c r="H38" s="205">
        <f>C38/C89</f>
        <v>635.50038096839933</v>
      </c>
      <c r="I38" s="203"/>
    </row>
    <row r="39" spans="1:9" ht="13">
      <c r="A39" s="179"/>
      <c r="B39" s="40" t="s">
        <v>220</v>
      </c>
      <c r="C39" s="190">
        <f>'Generation CO2e'!B230</f>
        <v>0</v>
      </c>
      <c r="D39" s="190">
        <f>'GIS CO2e'!B161</f>
        <v>0</v>
      </c>
      <c r="E39" s="190"/>
      <c r="F39" s="190"/>
      <c r="G39" s="196"/>
      <c r="H39" s="205">
        <f>C39/C89</f>
        <v>0</v>
      </c>
      <c r="I39" s="203"/>
    </row>
    <row r="40" spans="1:9" ht="13">
      <c r="A40" s="421"/>
      <c r="B40" s="421"/>
      <c r="C40" s="191"/>
      <c r="D40" s="191"/>
      <c r="E40" s="191"/>
      <c r="F40" s="191"/>
      <c r="G40" s="196"/>
      <c r="H40" s="206"/>
      <c r="I40" s="204"/>
    </row>
    <row r="41" spans="1:9" ht="13">
      <c r="A41" s="179" t="s">
        <v>228</v>
      </c>
      <c r="B41" s="179" t="s">
        <v>214</v>
      </c>
      <c r="C41" s="190">
        <f>'Generation CO2e'!B219</f>
        <v>551155655</v>
      </c>
      <c r="D41" s="190">
        <f>'GIS CO2e'!B148</f>
        <v>-13478481.875409078</v>
      </c>
      <c r="E41" s="190"/>
      <c r="F41" s="190"/>
      <c r="G41" s="196"/>
      <c r="H41" s="205">
        <f>C41/C94</f>
        <v>2.8296523774735101</v>
      </c>
      <c r="I41" s="203"/>
    </row>
    <row r="42" spans="1:9" ht="13">
      <c r="A42" s="179"/>
      <c r="B42" s="40" t="s">
        <v>220</v>
      </c>
      <c r="C42" s="190">
        <f>'Generation CO2e'!B220</f>
        <v>2895825436.2398849</v>
      </c>
      <c r="D42" s="190">
        <f>'GIS CO2e'!B151</f>
        <v>-510636340.41288447</v>
      </c>
      <c r="E42" s="190"/>
      <c r="F42" s="190"/>
      <c r="G42" s="196"/>
      <c r="H42" s="205">
        <f>C42/C94</f>
        <v>14.86726890320023</v>
      </c>
      <c r="I42" s="203"/>
    </row>
    <row r="43" spans="1:9">
      <c r="A43" s="421"/>
      <c r="B43" s="421"/>
      <c r="C43" s="424"/>
      <c r="D43" s="424"/>
      <c r="E43" s="424"/>
      <c r="F43" s="424"/>
      <c r="G43" s="117"/>
      <c r="H43" s="424"/>
      <c r="I43" s="424"/>
    </row>
    <row r="44" spans="1:9">
      <c r="C44" s="117"/>
      <c r="D44" s="117"/>
      <c r="E44" s="117"/>
      <c r="F44" s="117"/>
      <c r="G44" s="117"/>
      <c r="H44" s="117"/>
      <c r="I44" s="117"/>
    </row>
    <row r="45" spans="1:9" ht="14.25" customHeight="1"/>
    <row r="46" spans="1:9" ht="26">
      <c r="A46" s="247" t="s">
        <v>2590</v>
      </c>
      <c r="B46" s="213" t="s">
        <v>2636</v>
      </c>
      <c r="C46" s="186" t="s">
        <v>2572</v>
      </c>
      <c r="D46" s="186" t="s">
        <v>2627</v>
      </c>
      <c r="E46" s="186" t="s">
        <v>2633</v>
      </c>
      <c r="F46" s="604" t="s">
        <v>2598</v>
      </c>
      <c r="G46" s="194"/>
    </row>
    <row r="47" spans="1:9" ht="27.75" customHeight="1">
      <c r="B47" s="210" t="s">
        <v>2573</v>
      </c>
      <c r="C47" s="201" t="s">
        <v>2626</v>
      </c>
      <c r="D47" s="183" t="s">
        <v>2625</v>
      </c>
      <c r="E47" s="183" t="s">
        <v>2688</v>
      </c>
      <c r="F47" s="187" t="s">
        <v>2688</v>
      </c>
      <c r="G47" s="25"/>
    </row>
    <row r="48" spans="1:9" ht="43.5" customHeight="1">
      <c r="B48" s="211" t="s">
        <v>2630</v>
      </c>
      <c r="C48" s="202" t="s">
        <v>2779</v>
      </c>
      <c r="D48" s="184" t="s">
        <v>2628</v>
      </c>
      <c r="E48" s="184" t="s">
        <v>2629</v>
      </c>
      <c r="F48" s="185" t="s">
        <v>2629</v>
      </c>
      <c r="G48" s="188"/>
    </row>
    <row r="49" spans="1:11" ht="18.75" customHeight="1">
      <c r="B49" s="212" t="s">
        <v>2574</v>
      </c>
      <c r="C49" s="183" t="s">
        <v>2614</v>
      </c>
      <c r="D49" s="183" t="s">
        <v>2635</v>
      </c>
      <c r="E49" s="183" t="s">
        <v>2634</v>
      </c>
      <c r="F49" s="187" t="s">
        <v>2635</v>
      </c>
      <c r="G49" s="188"/>
    </row>
    <row r="50" spans="1:11" ht="56.25" customHeight="1">
      <c r="B50" s="212" t="s">
        <v>2597</v>
      </c>
      <c r="C50" s="188" t="s">
        <v>2613</v>
      </c>
      <c r="D50" s="188" t="s">
        <v>2718</v>
      </c>
      <c r="E50" s="188" t="s">
        <v>2739</v>
      </c>
      <c r="F50" s="189" t="s">
        <v>2740</v>
      </c>
      <c r="G50" s="188"/>
      <c r="H50" s="188"/>
      <c r="I50" s="118"/>
    </row>
    <row r="51" spans="1:11" ht="18.75" customHeight="1">
      <c r="B51" s="211" t="s">
        <v>2577</v>
      </c>
      <c r="C51" s="239" t="s">
        <v>2641</v>
      </c>
      <c r="D51" s="244" t="s">
        <v>2576</v>
      </c>
      <c r="E51" s="244" t="s">
        <v>2632</v>
      </c>
      <c r="F51" s="245" t="s">
        <v>2576</v>
      </c>
      <c r="G51" s="188"/>
    </row>
    <row r="52" spans="1:11">
      <c r="F52" s="193"/>
      <c r="G52" s="197"/>
    </row>
    <row r="53" spans="1:11" ht="13">
      <c r="A53" s="173"/>
      <c r="B53" s="421"/>
      <c r="C53" s="182"/>
      <c r="D53" s="182"/>
      <c r="E53" s="182"/>
      <c r="F53" s="182"/>
      <c r="G53" s="198"/>
      <c r="I53" s="45"/>
    </row>
    <row r="54" spans="1:11" ht="13">
      <c r="A54" s="179" t="s">
        <v>226</v>
      </c>
      <c r="B54" s="179" t="s">
        <v>2575</v>
      </c>
      <c r="C54" s="192">
        <f>'Generation Load Imports'!F$7*1000</f>
        <v>43074000</v>
      </c>
      <c r="D54" s="250">
        <f>GIS!S$298</f>
        <v>1064856</v>
      </c>
      <c r="E54" s="181"/>
      <c r="F54" s="181"/>
      <c r="G54" s="198"/>
      <c r="I54" s="45"/>
      <c r="J54" s="425"/>
    </row>
    <row r="55" spans="1:11" ht="13">
      <c r="A55" s="179"/>
      <c r="B55" s="40" t="s">
        <v>2578</v>
      </c>
      <c r="C55" s="181"/>
      <c r="D55" s="181">
        <f>GIS!S$296</f>
        <v>4295945</v>
      </c>
      <c r="E55" s="181">
        <f>GIS!Q88</f>
        <v>17181073</v>
      </c>
      <c r="F55" s="181"/>
      <c r="G55" s="198"/>
      <c r="I55" s="45"/>
      <c r="J55" s="426"/>
      <c r="K55" s="40"/>
    </row>
    <row r="56" spans="1:11" ht="13">
      <c r="A56" s="179"/>
      <c r="B56" s="40" t="s">
        <v>2579</v>
      </c>
      <c r="C56" s="181"/>
      <c r="D56" s="181">
        <f>GIS!S$297</f>
        <v>2236335</v>
      </c>
      <c r="E56" s="181"/>
      <c r="F56" s="181">
        <f>GIS!S$300</f>
        <v>2200726</v>
      </c>
      <c r="G56" s="427"/>
    </row>
    <row r="57" spans="1:11" ht="13">
      <c r="A57" s="179"/>
      <c r="B57" s="40" t="s">
        <v>2580</v>
      </c>
      <c r="C57" s="181"/>
      <c r="D57" s="192">
        <f>D54+D55-D56</f>
        <v>3124466</v>
      </c>
      <c r="E57" s="181"/>
      <c r="F57" s="181"/>
      <c r="G57" s="198"/>
    </row>
    <row r="58" spans="1:11" ht="13">
      <c r="A58" s="421"/>
      <c r="B58" s="180"/>
      <c r="C58" s="170"/>
      <c r="D58" s="170"/>
      <c r="E58" s="170"/>
      <c r="F58" s="170"/>
      <c r="G58" s="179"/>
      <c r="I58" s="45"/>
    </row>
    <row r="59" spans="1:11" ht="13">
      <c r="A59" s="179" t="s">
        <v>206</v>
      </c>
      <c r="B59" s="179" t="s">
        <v>2575</v>
      </c>
      <c r="C59" s="192">
        <f>'Generation Load Imports'!H$7*1000</f>
        <v>21406000</v>
      </c>
      <c r="D59" s="250">
        <f>GIS!V$298</f>
        <v>2892213</v>
      </c>
      <c r="E59" s="181"/>
      <c r="F59" s="181"/>
      <c r="G59" s="198"/>
      <c r="I59" s="45"/>
    </row>
    <row r="60" spans="1:11" ht="13">
      <c r="A60" s="179"/>
      <c r="B60" s="40" t="s">
        <v>2578</v>
      </c>
      <c r="C60" s="181"/>
      <c r="D60" s="181">
        <f>GIS!V$296</f>
        <v>16154902</v>
      </c>
      <c r="E60" s="181">
        <f>GIS!T113</f>
        <v>3172084</v>
      </c>
      <c r="F60" s="181"/>
      <c r="G60" s="198"/>
      <c r="I60" s="45"/>
      <c r="J60" s="425"/>
    </row>
    <row r="61" spans="1:11" ht="13">
      <c r="A61" s="179"/>
      <c r="B61" s="40" t="s">
        <v>2579</v>
      </c>
      <c r="C61" s="181"/>
      <c r="D61" s="181">
        <f>GIS!V$297</f>
        <v>524075</v>
      </c>
      <c r="E61" s="181"/>
      <c r="F61" s="181">
        <f>GIS!V$300</f>
        <v>473192</v>
      </c>
      <c r="G61" s="427"/>
      <c r="I61" s="426"/>
      <c r="J61" s="426"/>
      <c r="K61" s="40"/>
    </row>
    <row r="62" spans="1:11" ht="13">
      <c r="A62" s="179"/>
      <c r="B62" s="40" t="s">
        <v>2580</v>
      </c>
      <c r="C62" s="181"/>
      <c r="D62" s="192">
        <f>D59+D60-D61</f>
        <v>18523040</v>
      </c>
      <c r="E62" s="181"/>
      <c r="F62" s="181"/>
      <c r="G62" s="198"/>
    </row>
    <row r="63" spans="1:11" ht="13">
      <c r="A63" s="170"/>
      <c r="B63" s="421"/>
      <c r="C63" s="182"/>
      <c r="D63" s="182"/>
      <c r="E63" s="182"/>
      <c r="F63" s="182"/>
      <c r="G63" s="198"/>
      <c r="I63" s="45"/>
    </row>
    <row r="64" spans="1:11" ht="13">
      <c r="A64" s="40" t="s">
        <v>222</v>
      </c>
      <c r="B64" s="179" t="s">
        <v>2575</v>
      </c>
      <c r="C64" s="192">
        <f>'Generation Load Imports'!C$7*1000</f>
        <v>9154000</v>
      </c>
      <c r="D64" s="250">
        <f>GIS!Y$298</f>
        <v>882656</v>
      </c>
      <c r="E64" s="181"/>
      <c r="F64" s="181"/>
      <c r="G64" s="198"/>
      <c r="I64" s="45"/>
    </row>
    <row r="65" spans="1:11" ht="13">
      <c r="A65" s="179"/>
      <c r="B65" s="40" t="s">
        <v>2578</v>
      </c>
      <c r="C65" s="181"/>
      <c r="D65" s="181">
        <f>GIS!Y$296</f>
        <v>1501953</v>
      </c>
      <c r="E65" s="181">
        <f>GIS!Y138</f>
        <v>1155891</v>
      </c>
      <c r="F65" s="181"/>
      <c r="G65" s="198"/>
      <c r="I65" s="45"/>
    </row>
    <row r="66" spans="1:11" ht="13">
      <c r="A66" s="179"/>
      <c r="B66" s="40" t="s">
        <v>2579</v>
      </c>
      <c r="C66" s="181"/>
      <c r="D66" s="181">
        <f>GIS!Y$297</f>
        <v>4632137</v>
      </c>
      <c r="E66" s="181"/>
      <c r="F66" s="181">
        <f>GIS!Y$300</f>
        <v>4407112</v>
      </c>
      <c r="G66" s="198"/>
      <c r="I66" s="425"/>
      <c r="J66" s="425"/>
    </row>
    <row r="67" spans="1:11" ht="13">
      <c r="A67" s="179"/>
      <c r="B67" s="40" t="s">
        <v>2580</v>
      </c>
      <c r="C67" s="181"/>
      <c r="D67" s="192">
        <f>D64+D65-D66</f>
        <v>-2247528</v>
      </c>
      <c r="E67" s="181"/>
      <c r="F67" s="181"/>
      <c r="G67" s="198"/>
      <c r="I67" s="426"/>
      <c r="J67" s="426"/>
      <c r="K67" s="40"/>
    </row>
    <row r="68" spans="1:11" ht="13">
      <c r="A68" s="173"/>
      <c r="B68" s="421"/>
      <c r="C68" s="182"/>
      <c r="D68" s="182"/>
      <c r="E68" s="182"/>
      <c r="F68" s="182"/>
      <c r="G68" s="198"/>
      <c r="I68" s="45"/>
      <c r="J68" s="428"/>
      <c r="K68" s="103"/>
    </row>
    <row r="69" spans="1:11" ht="13">
      <c r="A69" s="179" t="s">
        <v>223</v>
      </c>
      <c r="B69" s="179" t="s">
        <v>2575</v>
      </c>
      <c r="C69" s="192">
        <f>'Generation Load Imports'!D$7*1000</f>
        <v>17544000</v>
      </c>
      <c r="D69" s="250">
        <f>GIS!AB$298</f>
        <v>276327</v>
      </c>
      <c r="E69" s="181"/>
      <c r="F69" s="181"/>
      <c r="G69" s="198"/>
      <c r="I69" s="45"/>
    </row>
    <row r="70" spans="1:11" ht="13">
      <c r="A70" s="179"/>
      <c r="B70" s="40" t="s">
        <v>2578</v>
      </c>
      <c r="C70" s="181"/>
      <c r="D70" s="181">
        <f>GIS!AB$296</f>
        <v>444557</v>
      </c>
      <c r="E70" s="181">
        <f>GIS!Z163</f>
        <v>702232</v>
      </c>
      <c r="F70" s="181"/>
      <c r="G70" s="198"/>
      <c r="H70" s="45"/>
      <c r="I70" s="45"/>
    </row>
    <row r="71" spans="1:11" ht="13">
      <c r="A71" s="179"/>
      <c r="B71" s="40" t="s">
        <v>2579</v>
      </c>
      <c r="C71" s="181"/>
      <c r="D71" s="181">
        <f>GIS!AB$297</f>
        <v>6608964</v>
      </c>
      <c r="E71" s="181"/>
      <c r="F71" s="181">
        <f>GIS!AB$300</f>
        <v>6388261</v>
      </c>
      <c r="G71" s="198"/>
      <c r="H71" s="45"/>
    </row>
    <row r="72" spans="1:11" ht="13">
      <c r="A72" s="40"/>
      <c r="B72" s="40" t="s">
        <v>2580</v>
      </c>
      <c r="C72" s="181"/>
      <c r="D72" s="192">
        <f>D69+D70-D71</f>
        <v>-5888080</v>
      </c>
      <c r="E72" s="181"/>
      <c r="F72" s="181"/>
      <c r="G72" s="198"/>
    </row>
    <row r="73" spans="1:11" ht="13">
      <c r="A73" s="170"/>
      <c r="B73" s="421"/>
      <c r="C73" s="182"/>
      <c r="D73" s="182"/>
      <c r="E73" s="182"/>
      <c r="F73" s="182"/>
      <c r="G73" s="198"/>
      <c r="I73" s="45"/>
    </row>
    <row r="74" spans="1:11" ht="13">
      <c r="A74" s="40" t="s">
        <v>225</v>
      </c>
      <c r="B74" s="179" t="s">
        <v>2575</v>
      </c>
      <c r="C74" s="192">
        <f>'Generation Load Imports'!G$7*1000</f>
        <v>9200000</v>
      </c>
      <c r="D74" s="250">
        <f>GIS!AE$298</f>
        <v>188801</v>
      </c>
      <c r="E74" s="181"/>
      <c r="F74" s="181"/>
      <c r="G74" s="198"/>
      <c r="I74" s="45"/>
    </row>
    <row r="75" spans="1:11" ht="13">
      <c r="A75" s="40"/>
      <c r="B75" s="40" t="s">
        <v>2578</v>
      </c>
      <c r="C75" s="181"/>
      <c r="D75" s="181">
        <f>GIS!AE$296</f>
        <v>905426</v>
      </c>
      <c r="E75" s="181">
        <f>GIS!AC188</f>
        <v>444215</v>
      </c>
      <c r="F75" s="181"/>
      <c r="G75" s="198"/>
      <c r="I75" s="45"/>
    </row>
    <row r="76" spans="1:11" ht="13">
      <c r="A76" s="40"/>
      <c r="B76" s="40" t="s">
        <v>2579</v>
      </c>
      <c r="C76" s="181"/>
      <c r="D76" s="181">
        <f>GIS!AE$297</f>
        <v>281331</v>
      </c>
      <c r="E76" s="181"/>
      <c r="F76" s="181">
        <f>GIS!AE$300</f>
        <v>147484</v>
      </c>
      <c r="G76" s="198"/>
    </row>
    <row r="77" spans="1:11" ht="13">
      <c r="A77" s="179"/>
      <c r="B77" s="40" t="s">
        <v>2580</v>
      </c>
      <c r="C77" s="181"/>
      <c r="D77" s="192">
        <f>D74+D75-D76</f>
        <v>812896</v>
      </c>
      <c r="E77" s="181"/>
      <c r="F77" s="181"/>
      <c r="G77" s="198"/>
    </row>
    <row r="78" spans="1:11" ht="13">
      <c r="A78" s="173"/>
      <c r="B78" s="421"/>
      <c r="C78" s="182"/>
      <c r="D78" s="182"/>
      <c r="E78" s="182"/>
      <c r="F78" s="182"/>
      <c r="G78" s="198"/>
      <c r="I78" s="45"/>
    </row>
    <row r="79" spans="1:11" ht="13">
      <c r="A79" s="179" t="s">
        <v>224</v>
      </c>
      <c r="B79" s="179" t="s">
        <v>2575</v>
      </c>
      <c r="C79" s="595">
        <f>'Generation Load Imports'!B27</f>
        <v>2104562.0010000002</v>
      </c>
      <c r="D79" s="250">
        <f>GIS!AH$298</f>
        <v>552529</v>
      </c>
      <c r="E79" s="181"/>
      <c r="F79" s="181"/>
      <c r="G79" s="198"/>
      <c r="I79" s="45"/>
    </row>
    <row r="80" spans="1:11" ht="13">
      <c r="A80" s="179"/>
      <c r="B80" s="40" t="s">
        <v>2578</v>
      </c>
      <c r="C80" s="181"/>
      <c r="D80" s="181">
        <f>GIS!AH$296</f>
        <v>4450001</v>
      </c>
      <c r="E80" s="181">
        <f>GIS!AF213</f>
        <v>319275</v>
      </c>
      <c r="F80" s="181"/>
      <c r="G80" s="198"/>
      <c r="I80" s="45"/>
    </row>
    <row r="81" spans="1:7" ht="13">
      <c r="A81" s="179"/>
      <c r="B81" s="40" t="s">
        <v>2579</v>
      </c>
      <c r="C81" s="181"/>
      <c r="D81" s="181">
        <f>GIS!AH$297</f>
        <v>1878773</v>
      </c>
      <c r="E81" s="181"/>
      <c r="F81" s="181">
        <f>GIS!AH$300</f>
        <v>1546957</v>
      </c>
      <c r="G81" s="198"/>
    </row>
    <row r="82" spans="1:7" ht="13">
      <c r="A82" s="179"/>
      <c r="B82" s="40" t="s">
        <v>2580</v>
      </c>
      <c r="C82" s="181"/>
      <c r="D82" s="192">
        <f>D79+D80-D81</f>
        <v>3123757</v>
      </c>
      <c r="E82" s="181"/>
      <c r="F82" s="181"/>
      <c r="G82" s="198"/>
    </row>
    <row r="83" spans="1:7" ht="13">
      <c r="A83" s="173"/>
      <c r="B83" s="421"/>
      <c r="C83" s="421"/>
      <c r="D83" s="421"/>
      <c r="E83" s="421"/>
      <c r="F83" s="421"/>
    </row>
    <row r="84" spans="1:7" ht="13">
      <c r="A84" s="179" t="s">
        <v>227</v>
      </c>
      <c r="B84" s="179" t="s">
        <v>2575</v>
      </c>
      <c r="C84" s="192">
        <f>'Generation Load Imports'!B24</f>
        <v>123081532.74100004</v>
      </c>
      <c r="D84" s="246"/>
      <c r="E84" s="181"/>
      <c r="F84" s="181"/>
      <c r="G84" s="198"/>
    </row>
    <row r="85" spans="1:7" ht="13">
      <c r="A85" s="179"/>
      <c r="B85" s="179" t="s">
        <v>2769</v>
      </c>
      <c r="C85" s="192">
        <f>'Generation Load Imports'!D11*1000</f>
        <v>2497000</v>
      </c>
      <c r="D85" s="246"/>
      <c r="E85" s="181"/>
      <c r="F85" s="181"/>
      <c r="G85" s="198"/>
    </row>
    <row r="86" spans="1:7" ht="13">
      <c r="A86" s="179"/>
      <c r="B86" s="40" t="s">
        <v>2579</v>
      </c>
      <c r="C86" s="181"/>
      <c r="D86" s="246">
        <f>GIS!AK$297</f>
        <v>3927149</v>
      </c>
      <c r="E86" s="181"/>
      <c r="F86" s="181"/>
      <c r="G86" s="198"/>
    </row>
    <row r="87" spans="1:7" ht="13">
      <c r="A87" s="179"/>
      <c r="B87" s="40" t="s">
        <v>2580</v>
      </c>
      <c r="C87" s="181"/>
      <c r="D87" s="195">
        <f>D84+D85-D86</f>
        <v>-3927149</v>
      </c>
      <c r="E87" s="181"/>
      <c r="F87" s="181"/>
      <c r="G87" s="198"/>
    </row>
    <row r="88" spans="1:7" ht="13">
      <c r="A88" s="173"/>
      <c r="B88" s="421"/>
      <c r="C88" s="421"/>
      <c r="D88" s="421"/>
      <c r="E88" s="421"/>
      <c r="F88" s="421"/>
    </row>
    <row r="89" spans="1:7" ht="14.25" customHeight="1">
      <c r="A89" s="179" t="s">
        <v>229</v>
      </c>
      <c r="B89" s="179" t="s">
        <v>2575</v>
      </c>
      <c r="C89" s="192">
        <f>'Generation Load Imports'!B33</f>
        <v>11760293</v>
      </c>
      <c r="D89" s="246"/>
      <c r="E89" s="181"/>
      <c r="F89" s="181"/>
      <c r="G89" s="198"/>
    </row>
    <row r="90" spans="1:7" ht="13">
      <c r="A90" s="179"/>
      <c r="B90" s="179" t="s">
        <v>2769</v>
      </c>
      <c r="C90" s="192">
        <f>'Generation Load Imports'!C11*1000</f>
        <v>2598000</v>
      </c>
      <c r="D90" s="246"/>
      <c r="E90" s="181"/>
      <c r="F90" s="181"/>
      <c r="G90" s="198"/>
    </row>
    <row r="91" spans="1:7" ht="13">
      <c r="A91" s="179"/>
      <c r="B91" s="40" t="s">
        <v>2623</v>
      </c>
      <c r="C91" s="181"/>
      <c r="D91" s="246">
        <f>GIS!AN$297</f>
        <v>447134</v>
      </c>
      <c r="E91" s="181"/>
      <c r="F91" s="181"/>
      <c r="G91" s="198"/>
    </row>
    <row r="92" spans="1:7" ht="13">
      <c r="A92" s="179"/>
      <c r="B92" s="40" t="s">
        <v>2580</v>
      </c>
      <c r="C92" s="181"/>
      <c r="D92" s="195">
        <f>D89+D90-D91</f>
        <v>-447134</v>
      </c>
      <c r="E92" s="181"/>
      <c r="F92" s="181"/>
      <c r="G92" s="198"/>
    </row>
    <row r="93" spans="1:7" ht="13">
      <c r="A93" s="173"/>
      <c r="B93" s="421"/>
      <c r="C93" s="421"/>
      <c r="D93" s="421"/>
      <c r="E93" s="421"/>
      <c r="F93" s="421"/>
    </row>
    <row r="94" spans="1:7" ht="13">
      <c r="A94" s="179" t="s">
        <v>228</v>
      </c>
      <c r="B94" s="179" t="s">
        <v>2575</v>
      </c>
      <c r="C94" s="192">
        <f>'Generation Load Imports'!B36</f>
        <v>194778574</v>
      </c>
      <c r="D94" s="246"/>
      <c r="E94" s="181"/>
      <c r="F94" s="181"/>
      <c r="G94" s="198"/>
    </row>
    <row r="95" spans="1:7" ht="13">
      <c r="A95" s="179"/>
      <c r="B95" s="179" t="s">
        <v>2769</v>
      </c>
      <c r="C95" s="192">
        <f>'Generation Load Imports'!E11*1000</f>
        <v>13700000</v>
      </c>
      <c r="D95" s="246"/>
      <c r="E95" s="181"/>
      <c r="F95" s="181"/>
      <c r="G95" s="198"/>
    </row>
    <row r="96" spans="1:7" ht="13">
      <c r="A96" s="179"/>
      <c r="B96" s="40" t="s">
        <v>2623</v>
      </c>
      <c r="C96" s="181"/>
      <c r="D96" s="246">
        <f>GIS!AQ$297</f>
        <v>7216886</v>
      </c>
      <c r="E96" s="181"/>
      <c r="F96" s="181"/>
      <c r="G96" s="198"/>
    </row>
    <row r="97" spans="1:7" ht="13">
      <c r="A97" s="179"/>
      <c r="B97" s="40" t="s">
        <v>2580</v>
      </c>
      <c r="C97" s="181"/>
      <c r="D97" s="195">
        <f>D94+D95-D96</f>
        <v>-7216886</v>
      </c>
      <c r="E97" s="181"/>
      <c r="F97" s="181"/>
      <c r="G97" s="198"/>
    </row>
    <row r="98" spans="1:7" ht="13">
      <c r="A98" s="173"/>
      <c r="B98" s="421"/>
      <c r="C98" s="421"/>
      <c r="D98" s="421"/>
      <c r="E98" s="421"/>
      <c r="F98" s="421"/>
    </row>
    <row r="99" spans="1:7" ht="13">
      <c r="A99" s="429" t="s">
        <v>357</v>
      </c>
      <c r="B99" s="179" t="s">
        <v>2575</v>
      </c>
      <c r="C99" s="192">
        <f>C54+C59+C64+C69+C74+C79</f>
        <v>102482562.001</v>
      </c>
      <c r="D99" s="250">
        <f>D54+D59+D64+D69+D74+D79</f>
        <v>5857382</v>
      </c>
      <c r="E99" s="181"/>
      <c r="F99" s="181"/>
    </row>
    <row r="100" spans="1:7" ht="13">
      <c r="B100" s="40" t="s">
        <v>2588</v>
      </c>
      <c r="C100" s="192"/>
      <c r="D100" s="246">
        <f>D55+D60+D65+D70+D75+D80</f>
        <v>27752784</v>
      </c>
      <c r="E100" s="181"/>
      <c r="F100" s="181"/>
    </row>
    <row r="101" spans="1:7" ht="13">
      <c r="B101" s="40" t="s">
        <v>2589</v>
      </c>
      <c r="C101" s="181"/>
      <c r="D101" s="246">
        <f>D56+D61+D66+D71+D76+D81</f>
        <v>16161615</v>
      </c>
      <c r="E101" s="181"/>
      <c r="F101" s="181"/>
    </row>
    <row r="102" spans="1:7" ht="13">
      <c r="B102" s="40" t="s">
        <v>2580</v>
      </c>
      <c r="C102" s="181"/>
      <c r="D102" s="195">
        <f>D99+D100-D101</f>
        <v>17448551</v>
      </c>
      <c r="E102" s="430"/>
      <c r="F102" s="430"/>
    </row>
    <row r="103" spans="1:7">
      <c r="A103" s="421"/>
      <c r="B103" s="421"/>
      <c r="C103" s="421"/>
      <c r="D103" s="421"/>
      <c r="E103" s="421"/>
      <c r="F103" s="421"/>
    </row>
    <row r="104" spans="1:7" ht="13">
      <c r="A104" s="429" t="s">
        <v>2536</v>
      </c>
      <c r="B104" s="179" t="s">
        <v>2575</v>
      </c>
      <c r="C104" s="192">
        <f>C84+C89+C94</f>
        <v>329620399.74100006</v>
      </c>
      <c r="D104" s="246"/>
      <c r="E104" s="181"/>
      <c r="F104" s="181"/>
    </row>
    <row r="105" spans="1:7" ht="13">
      <c r="B105" s="179" t="s">
        <v>2769</v>
      </c>
      <c r="C105" s="192">
        <f>C85+C90+C95</f>
        <v>18795000</v>
      </c>
      <c r="D105" s="246"/>
      <c r="E105" s="181"/>
      <c r="F105" s="181"/>
    </row>
    <row r="106" spans="1:7" ht="13">
      <c r="B106" s="40" t="s">
        <v>2624</v>
      </c>
      <c r="C106" s="181"/>
      <c r="D106" s="246">
        <f>D86+D91+D96</f>
        <v>11591169</v>
      </c>
      <c r="E106" s="181"/>
      <c r="F106" s="181"/>
    </row>
    <row r="107" spans="1:7" ht="13">
      <c r="B107" s="40" t="s">
        <v>2580</v>
      </c>
      <c r="C107" s="181"/>
      <c r="D107" s="195">
        <f>D104+D105-D106</f>
        <v>-11591169</v>
      </c>
      <c r="E107" s="181"/>
      <c r="F107" s="181"/>
    </row>
    <row r="108" spans="1:7">
      <c r="A108" s="421"/>
      <c r="B108" s="421"/>
      <c r="C108" s="421"/>
      <c r="D108" s="421"/>
      <c r="E108" s="421"/>
      <c r="F108" s="421"/>
    </row>
    <row r="109" spans="1:7" ht="13">
      <c r="A109" s="429" t="s">
        <v>2537</v>
      </c>
      <c r="B109" s="179" t="s">
        <v>2575</v>
      </c>
      <c r="C109" s="192">
        <f>C99+C104</f>
        <v>432102961.74200004</v>
      </c>
      <c r="D109" s="250">
        <f>D99+D104</f>
        <v>5857382</v>
      </c>
      <c r="E109" s="181"/>
      <c r="F109" s="181"/>
    </row>
    <row r="110" spans="1:7" ht="13">
      <c r="B110" s="179" t="s">
        <v>2582</v>
      </c>
      <c r="C110" s="192">
        <f>C100+C105</f>
        <v>18795000</v>
      </c>
      <c r="D110" s="246">
        <f>D100+D105</f>
        <v>27752784</v>
      </c>
      <c r="E110" s="181"/>
      <c r="F110" s="181"/>
    </row>
    <row r="111" spans="1:7" ht="13">
      <c r="B111" s="40" t="s">
        <v>2624</v>
      </c>
      <c r="C111" s="181"/>
      <c r="D111" s="246">
        <f>D101+D106</f>
        <v>27752784</v>
      </c>
      <c r="E111" s="430"/>
      <c r="F111" s="430"/>
    </row>
    <row r="112" spans="1:7" ht="13">
      <c r="B112" s="40" t="s">
        <v>2580</v>
      </c>
      <c r="C112" s="181"/>
      <c r="D112" s="195">
        <f>D109+D110-D111</f>
        <v>5857382</v>
      </c>
      <c r="E112" s="181"/>
      <c r="F112" s="181"/>
    </row>
    <row r="113" spans="1:6">
      <c r="A113" s="421"/>
      <c r="B113" s="421"/>
      <c r="C113" s="421"/>
      <c r="D113" s="421"/>
      <c r="E113" s="421"/>
      <c r="F113" s="421"/>
    </row>
    <row r="115" spans="1:6">
      <c r="C115" s="45"/>
      <c r="D115" s="45"/>
    </row>
  </sheetData>
  <pageMargins left="0.7" right="0.7" top="0.75" bottom="0.75" header="0.3" footer="0.3"/>
  <pageSetup scale="36" fitToHeight="0"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37"/>
  <sheetViews>
    <sheetView zoomScaleNormal="100" workbookViewId="0"/>
  </sheetViews>
  <sheetFormatPr defaultColWidth="9.1796875" defaultRowHeight="14"/>
  <cols>
    <col min="1" max="1" width="15.1796875" style="378" customWidth="1"/>
    <col min="2" max="2" width="13.81640625" style="378" customWidth="1"/>
    <col min="3" max="3" width="12.1796875" style="378" customWidth="1"/>
    <col min="4" max="4" width="11.453125" style="378" customWidth="1"/>
    <col min="5" max="5" width="10.453125" style="378" bestFit="1" customWidth="1"/>
    <col min="6" max="6" width="15.54296875" style="378" customWidth="1"/>
    <col min="7" max="7" width="10.453125" style="378" bestFit="1" customWidth="1"/>
    <col min="8" max="8" width="10.54296875" style="378" bestFit="1" customWidth="1"/>
    <col min="9" max="9" width="9" style="378" customWidth="1"/>
    <col min="10" max="10" width="10.453125" style="378" customWidth="1"/>
    <col min="11" max="11" width="11.54296875" style="378" customWidth="1"/>
    <col min="12" max="12" width="17.54296875" style="378" customWidth="1"/>
    <col min="13" max="13" width="12.81640625" style="378" bestFit="1" customWidth="1"/>
    <col min="14" max="16384" width="9.1796875" style="378"/>
  </cols>
  <sheetData>
    <row r="1" spans="1:15" ht="15.5">
      <c r="A1" s="248" t="s">
        <v>2611</v>
      </c>
    </row>
    <row r="2" spans="1:15" ht="14.5" thickBot="1"/>
    <row r="3" spans="1:15">
      <c r="A3" s="380" t="s">
        <v>2620</v>
      </c>
      <c r="B3" s="381"/>
      <c r="C3" s="381"/>
      <c r="D3" s="381"/>
      <c r="E3" s="382"/>
      <c r="F3" s="381"/>
      <c r="G3" s="381"/>
      <c r="H3" s="381"/>
      <c r="I3" s="381"/>
      <c r="J3" s="381"/>
      <c r="K3" s="383"/>
      <c r="L3" s="383"/>
      <c r="M3" s="383"/>
      <c r="N3" s="384"/>
    </row>
    <row r="4" spans="1:15" ht="14.5">
      <c r="A4" s="385"/>
      <c r="B4" s="386"/>
      <c r="C4" s="680"/>
      <c r="D4" s="680"/>
      <c r="E4" s="680"/>
      <c r="F4" s="680"/>
      <c r="G4" s="680"/>
      <c r="H4" s="680"/>
      <c r="I4" s="389"/>
      <c r="J4" s="389"/>
      <c r="K4" s="390"/>
      <c r="L4" s="388"/>
      <c r="M4" s="391"/>
      <c r="N4" s="392"/>
    </row>
    <row r="5" spans="1:15" ht="14.5" thickBot="1">
      <c r="A5" s="393"/>
      <c r="B5" s="789" t="s">
        <v>185</v>
      </c>
      <c r="C5" s="789"/>
      <c r="D5" s="789"/>
      <c r="E5" s="789"/>
      <c r="F5" s="789"/>
      <c r="G5" s="789"/>
      <c r="H5" s="789"/>
      <c r="I5" s="394"/>
      <c r="J5" s="645"/>
      <c r="K5" s="395"/>
      <c r="L5" s="387"/>
      <c r="M5" s="387"/>
      <c r="N5" s="392"/>
    </row>
    <row r="6" spans="1:15">
      <c r="A6" s="396"/>
      <c r="B6" s="397" t="s">
        <v>186</v>
      </c>
      <c r="C6" s="397" t="s">
        <v>90</v>
      </c>
      <c r="D6" s="397" t="s">
        <v>96</v>
      </c>
      <c r="E6" s="397" t="s">
        <v>89</v>
      </c>
      <c r="F6" s="397" t="s">
        <v>41</v>
      </c>
      <c r="G6" s="397" t="s">
        <v>131</v>
      </c>
      <c r="H6" s="397" t="s">
        <v>81</v>
      </c>
      <c r="I6" s="397"/>
      <c r="J6" s="395" t="s">
        <v>3673</v>
      </c>
      <c r="K6" s="387"/>
      <c r="L6" s="387"/>
      <c r="M6" s="387"/>
      <c r="N6" s="673"/>
      <c r="O6" s="674"/>
    </row>
    <row r="7" spans="1:15">
      <c r="A7" s="398">
        <v>2021</v>
      </c>
      <c r="B7" s="665">
        <f>C7+D7+(B27/1000)+F7+G7+H7</f>
        <v>102482.562001</v>
      </c>
      <c r="C7" s="399">
        <v>9154</v>
      </c>
      <c r="D7" s="399">
        <v>17544</v>
      </c>
      <c r="E7" s="399">
        <v>1254</v>
      </c>
      <c r="F7" s="399">
        <v>43074</v>
      </c>
      <c r="G7" s="399">
        <v>9200</v>
      </c>
      <c r="H7" s="399">
        <v>21406</v>
      </c>
      <c r="I7" s="397"/>
      <c r="J7" s="379" t="s">
        <v>2787</v>
      </c>
      <c r="K7" s="387"/>
      <c r="L7" s="387"/>
      <c r="M7" s="387"/>
      <c r="N7" s="392"/>
    </row>
    <row r="8" spans="1:15">
      <c r="A8" s="396"/>
      <c r="B8" s="400"/>
      <c r="C8" s="612"/>
      <c r="D8" s="401"/>
      <c r="E8" s="401"/>
      <c r="F8" s="401"/>
      <c r="G8" s="652"/>
      <c r="H8" s="651"/>
      <c r="I8" s="397"/>
      <c r="J8" s="466" t="s">
        <v>3354</v>
      </c>
      <c r="K8" s="387"/>
      <c r="L8" s="387"/>
      <c r="M8" s="387"/>
      <c r="N8" s="392"/>
    </row>
    <row r="9" spans="1:15" ht="30.75" customHeight="1" thickBot="1">
      <c r="A9" s="396"/>
      <c r="B9" s="789" t="s">
        <v>187</v>
      </c>
      <c r="C9" s="789"/>
      <c r="D9" s="789"/>
      <c r="E9" s="789"/>
      <c r="F9" s="789"/>
      <c r="G9" s="387"/>
      <c r="H9" s="653"/>
      <c r="I9" s="397"/>
      <c r="J9" s="379" t="s">
        <v>3355</v>
      </c>
      <c r="K9" s="387"/>
      <c r="L9" s="387"/>
      <c r="M9" s="387"/>
      <c r="N9" s="392"/>
    </row>
    <row r="10" spans="1:15" ht="26">
      <c r="A10" s="398"/>
      <c r="B10" s="404" t="s">
        <v>188</v>
      </c>
      <c r="C10" s="404" t="s">
        <v>356</v>
      </c>
      <c r="D10" s="404" t="s">
        <v>57</v>
      </c>
      <c r="E10" s="404" t="s">
        <v>1280</v>
      </c>
      <c r="F10" s="402" t="s">
        <v>3069</v>
      </c>
      <c r="G10" s="387"/>
      <c r="H10" s="387"/>
      <c r="I10" s="387"/>
      <c r="J10" s="672" t="s">
        <v>2786</v>
      </c>
      <c r="K10" s="387"/>
      <c r="L10" s="387"/>
      <c r="M10" s="387"/>
      <c r="N10" s="392"/>
    </row>
    <row r="11" spans="1:15">
      <c r="A11" s="398">
        <v>2021</v>
      </c>
      <c r="B11" s="399">
        <f>C11+D11+E11</f>
        <v>18795</v>
      </c>
      <c r="C11" s="399">
        <v>2598</v>
      </c>
      <c r="D11" s="399">
        <v>2497</v>
      </c>
      <c r="E11" s="399">
        <v>13700</v>
      </c>
      <c r="F11" s="682">
        <v>1699</v>
      </c>
      <c r="G11" s="387"/>
      <c r="H11" s="621"/>
      <c r="I11" s="387"/>
      <c r="J11" s="405" t="s">
        <v>3634</v>
      </c>
      <c r="K11" s="387"/>
      <c r="L11" s="387"/>
      <c r="M11" s="387"/>
      <c r="N11" s="392"/>
      <c r="O11" s="674"/>
    </row>
    <row r="12" spans="1:15">
      <c r="A12" s="398"/>
      <c r="B12" s="399"/>
      <c r="C12" s="399"/>
      <c r="D12" s="399"/>
      <c r="E12" s="399"/>
      <c r="F12" s="614"/>
      <c r="G12" s="387"/>
      <c r="H12" s="621"/>
      <c r="I12" s="387"/>
      <c r="J12" s="405"/>
      <c r="K12" s="387"/>
      <c r="L12" s="387"/>
      <c r="M12" s="387"/>
      <c r="N12" s="392"/>
    </row>
    <row r="13" spans="1:15" ht="20.5" customHeight="1" thickBot="1">
      <c r="B13" s="416" t="s">
        <v>3632</v>
      </c>
      <c r="C13" s="416"/>
      <c r="D13" s="666"/>
      <c r="E13" s="666"/>
      <c r="F13" s="667" t="s">
        <v>3633</v>
      </c>
      <c r="G13" s="667"/>
      <c r="H13" s="668"/>
      <c r="I13" s="387"/>
      <c r="J13" s="669"/>
      <c r="K13" s="387"/>
      <c r="L13" s="387"/>
      <c r="M13" s="387"/>
      <c r="N13" s="392"/>
    </row>
    <row r="14" spans="1:15">
      <c r="A14" s="396">
        <v>2021</v>
      </c>
      <c r="B14" s="662">
        <f>B18-B7</f>
        <v>16247.437999000002</v>
      </c>
      <c r="C14" s="387"/>
      <c r="D14" s="387"/>
      <c r="E14" s="387"/>
      <c r="F14" s="662">
        <f>B11-B14</f>
        <v>2547.5620009999984</v>
      </c>
      <c r="G14" s="387"/>
      <c r="H14" s="387"/>
      <c r="I14" s="387"/>
      <c r="J14" s="387"/>
      <c r="K14" s="387"/>
      <c r="L14" s="387"/>
      <c r="M14" s="387"/>
      <c r="N14" s="392"/>
    </row>
    <row r="15" spans="1:15">
      <c r="A15" s="396"/>
      <c r="B15" s="662"/>
      <c r="C15" s="662"/>
      <c r="D15" s="662"/>
      <c r="E15" s="662"/>
      <c r="F15" s="662"/>
      <c r="G15" s="662"/>
      <c r="H15" s="662"/>
      <c r="I15" s="387"/>
      <c r="J15" s="387"/>
      <c r="K15" s="387"/>
      <c r="L15" s="387"/>
      <c r="M15" s="387"/>
      <c r="N15" s="392"/>
    </row>
    <row r="16" spans="1:15" ht="14.5" thickBot="1">
      <c r="A16" s="396"/>
      <c r="B16" s="789" t="s">
        <v>189</v>
      </c>
      <c r="C16" s="789"/>
      <c r="D16" s="789"/>
      <c r="E16" s="789"/>
      <c r="F16" s="789"/>
      <c r="G16" s="789"/>
      <c r="H16" s="789"/>
      <c r="I16" s="387"/>
      <c r="J16" s="406"/>
      <c r="K16" s="387"/>
      <c r="L16" s="387"/>
      <c r="M16" s="387"/>
      <c r="N16" s="392"/>
      <c r="O16" s="674"/>
    </row>
    <row r="17" spans="1:15">
      <c r="A17" s="396"/>
      <c r="B17" s="394" t="s">
        <v>190</v>
      </c>
      <c r="C17" s="407" t="s">
        <v>90</v>
      </c>
      <c r="D17" s="394" t="s">
        <v>96</v>
      </c>
      <c r="E17" s="407" t="s">
        <v>89</v>
      </c>
      <c r="F17" s="394" t="s">
        <v>41</v>
      </c>
      <c r="G17" s="394" t="s">
        <v>131</v>
      </c>
      <c r="H17" s="407" t="s">
        <v>81</v>
      </c>
      <c r="I17" s="387"/>
      <c r="J17" s="395" t="s">
        <v>3673</v>
      </c>
      <c r="K17" s="387"/>
      <c r="L17" s="387"/>
      <c r="M17" s="387"/>
      <c r="N17" s="392"/>
      <c r="O17" s="674"/>
    </row>
    <row r="18" spans="1:15">
      <c r="A18" s="398">
        <v>2021</v>
      </c>
      <c r="B18" s="399">
        <v>118730</v>
      </c>
      <c r="C18" s="408">
        <v>11888</v>
      </c>
      <c r="D18" s="399">
        <v>11633</v>
      </c>
      <c r="E18" s="408">
        <v>5158</v>
      </c>
      <c r="F18" s="399">
        <v>28308</v>
      </c>
      <c r="G18" s="399">
        <v>7900</v>
      </c>
      <c r="H18" s="408">
        <v>53843</v>
      </c>
      <c r="I18" s="387"/>
      <c r="J18" s="648" t="s">
        <v>2787</v>
      </c>
      <c r="K18" s="387"/>
      <c r="L18" s="387"/>
      <c r="M18" s="387"/>
      <c r="N18" s="392"/>
    </row>
    <row r="19" spans="1:15">
      <c r="A19" s="409"/>
      <c r="B19" s="663">
        <f>B18+F14</f>
        <v>121277.562001</v>
      </c>
      <c r="C19" s="664">
        <f>C18+C18*$F14/$B18</f>
        <v>12143.078051611959</v>
      </c>
      <c r="D19" s="663">
        <f t="shared" ref="D19:H19" si="0">D18+D18*$F14/$B18</f>
        <v>11882.606575908641</v>
      </c>
      <c r="E19" s="664">
        <f t="shared" si="0"/>
        <v>5268.674006579281</v>
      </c>
      <c r="F19" s="663">
        <f t="shared" si="0"/>
        <v>28915.398173370741</v>
      </c>
      <c r="G19" s="663">
        <f t="shared" si="0"/>
        <v>8069.5084629655521</v>
      </c>
      <c r="H19" s="664">
        <f t="shared" si="0"/>
        <v>54998.296730563823</v>
      </c>
      <c r="I19" s="387"/>
      <c r="J19" s="410"/>
      <c r="K19" s="387"/>
      <c r="L19" s="387"/>
      <c r="M19" s="387"/>
      <c r="N19" s="392"/>
    </row>
    <row r="20" spans="1:15">
      <c r="A20" s="409"/>
      <c r="B20" s="399"/>
      <c r="C20" s="411" t="s">
        <v>1683</v>
      </c>
      <c r="D20" s="411"/>
      <c r="E20" s="411"/>
      <c r="F20" s="411"/>
      <c r="G20" s="412"/>
      <c r="H20" s="411"/>
      <c r="I20" s="387"/>
      <c r="J20" s="410"/>
      <c r="K20" s="387"/>
      <c r="L20" s="387"/>
      <c r="M20" s="387"/>
      <c r="N20" s="392"/>
    </row>
    <row r="21" spans="1:15" ht="14.5" thickBot="1">
      <c r="A21" s="413"/>
      <c r="B21" s="681"/>
      <c r="C21" s="387"/>
      <c r="D21" s="387"/>
      <c r="E21" s="387"/>
      <c r="F21" s="387"/>
      <c r="G21" s="387"/>
      <c r="H21" s="387"/>
      <c r="I21" s="414"/>
      <c r="J21" s="414"/>
      <c r="K21" s="414"/>
      <c r="L21" s="414"/>
      <c r="M21" s="414"/>
      <c r="N21" s="415"/>
    </row>
    <row r="22" spans="1:15">
      <c r="A22" s="380" t="s">
        <v>2612</v>
      </c>
      <c r="B22" s="383"/>
      <c r="C22" s="383"/>
      <c r="D22" s="383"/>
      <c r="E22" s="383"/>
      <c r="F22" s="383"/>
      <c r="G22" s="383"/>
      <c r="H22" s="383"/>
      <c r="I22" s="383"/>
      <c r="J22" s="383"/>
      <c r="K22" s="383"/>
      <c r="L22" s="383"/>
      <c r="M22" s="383"/>
      <c r="N22" s="384"/>
    </row>
    <row r="23" spans="1:15" ht="14.5" thickBot="1">
      <c r="A23" s="396"/>
      <c r="B23" s="416" t="s">
        <v>2767</v>
      </c>
      <c r="C23" s="387"/>
      <c r="D23" s="387"/>
      <c r="E23" s="387"/>
      <c r="F23" s="387"/>
      <c r="G23" s="387"/>
      <c r="H23" s="387"/>
      <c r="I23" s="387"/>
      <c r="J23" s="387"/>
      <c r="K23" s="387"/>
      <c r="L23" s="387"/>
      <c r="M23" s="387"/>
      <c r="N23" s="392"/>
    </row>
    <row r="24" spans="1:15" ht="14.5" thickBot="1">
      <c r="A24" s="396">
        <v>2021</v>
      </c>
      <c r="B24" s="417">
        <v>123081532.74100004</v>
      </c>
      <c r="C24" s="387" t="s">
        <v>3674</v>
      </c>
      <c r="D24" s="387"/>
      <c r="F24" s="387"/>
      <c r="G24" s="387"/>
      <c r="H24" s="387"/>
      <c r="I24" s="387"/>
      <c r="J24" s="387"/>
      <c r="K24" s="387"/>
      <c r="L24" s="387"/>
      <c r="M24" s="387"/>
      <c r="N24" s="392"/>
    </row>
    <row r="25" spans="1:15">
      <c r="A25" s="396"/>
      <c r="B25" s="683"/>
      <c r="D25" s="387"/>
      <c r="E25" s="387"/>
      <c r="F25" s="387"/>
      <c r="G25" s="466"/>
      <c r="H25" s="387"/>
      <c r="I25" s="387"/>
      <c r="J25" s="387"/>
      <c r="K25" s="387"/>
      <c r="L25" s="387"/>
      <c r="M25" s="387"/>
      <c r="N25" s="392"/>
    </row>
    <row r="26" spans="1:15" ht="14.5" thickBot="1">
      <c r="A26" s="396"/>
      <c r="B26" s="416" t="s">
        <v>2768</v>
      </c>
      <c r="C26" s="387"/>
      <c r="D26" s="387"/>
      <c r="E26" s="387"/>
      <c r="F26" s="387"/>
      <c r="G26" s="387"/>
      <c r="H26" s="387"/>
      <c r="I26" s="387"/>
      <c r="J26" s="387"/>
      <c r="K26" s="387"/>
      <c r="L26" s="387"/>
      <c r="M26" s="387"/>
      <c r="N26" s="392"/>
    </row>
    <row r="27" spans="1:15" ht="14.5" thickBot="1">
      <c r="A27" s="396">
        <v>2021</v>
      </c>
      <c r="B27" s="603">
        <v>2104562.0010000002</v>
      </c>
      <c r="C27" s="387" t="s">
        <v>3674</v>
      </c>
      <c r="D27" s="387"/>
      <c r="E27" s="379"/>
      <c r="F27" s="387"/>
      <c r="G27" s="387"/>
      <c r="H27" s="387"/>
      <c r="I27" s="644"/>
      <c r="J27" s="387"/>
      <c r="K27" s="387"/>
      <c r="L27" s="387"/>
      <c r="M27" s="387"/>
      <c r="N27" s="392"/>
    </row>
    <row r="28" spans="1:15">
      <c r="A28" s="396"/>
      <c r="B28" s="683"/>
      <c r="C28" s="387"/>
      <c r="D28" s="387"/>
      <c r="E28" s="387"/>
      <c r="F28" s="387"/>
      <c r="G28" s="387"/>
      <c r="H28" s="387"/>
      <c r="I28" s="387"/>
      <c r="J28" s="387"/>
      <c r="K28" s="387"/>
      <c r="L28" s="387"/>
      <c r="M28" s="387"/>
      <c r="N28" s="392"/>
    </row>
    <row r="29" spans="1:15" ht="14.5" thickBot="1">
      <c r="A29" s="396"/>
      <c r="B29" s="418" t="s">
        <v>2606</v>
      </c>
      <c r="C29" s="387"/>
      <c r="D29" s="387"/>
      <c r="E29" s="387"/>
      <c r="F29" s="387"/>
      <c r="G29" s="387"/>
      <c r="H29" s="387"/>
      <c r="I29" s="387"/>
      <c r="J29" s="387"/>
      <c r="K29" s="387"/>
      <c r="L29" s="387"/>
      <c r="M29" s="387"/>
      <c r="N29" s="392"/>
    </row>
    <row r="30" spans="1:15" ht="14.5" thickBot="1">
      <c r="A30" s="396">
        <v>2021</v>
      </c>
      <c r="B30" s="690">
        <v>284743</v>
      </c>
      <c r="C30" s="387" t="s">
        <v>3672</v>
      </c>
      <c r="D30" s="387"/>
      <c r="E30" s="387"/>
      <c r="F30" s="387"/>
      <c r="G30" s="387"/>
      <c r="H30" s="387"/>
      <c r="I30" s="387"/>
      <c r="J30" s="387"/>
      <c r="K30" s="387"/>
      <c r="L30" s="387"/>
      <c r="M30" s="387"/>
      <c r="N30" s="392"/>
    </row>
    <row r="31" spans="1:15">
      <c r="C31" s="403"/>
      <c r="D31" s="387"/>
      <c r="E31" s="387"/>
      <c r="F31" s="644"/>
      <c r="G31" s="387"/>
      <c r="H31" s="387"/>
      <c r="I31" s="387"/>
      <c r="J31" s="387"/>
      <c r="K31" s="387"/>
      <c r="L31" s="387"/>
      <c r="M31" s="387"/>
      <c r="N31" s="392"/>
    </row>
    <row r="32" spans="1:15" ht="14.5" thickBot="1">
      <c r="A32" s="396"/>
      <c r="B32" s="394" t="s">
        <v>2607</v>
      </c>
      <c r="C32" s="387"/>
      <c r="D32" s="387"/>
      <c r="E32" s="379" t="s">
        <v>2610</v>
      </c>
      <c r="F32" s="387"/>
      <c r="G32" s="387"/>
      <c r="H32" s="387"/>
      <c r="I32" s="387"/>
      <c r="J32" s="387"/>
      <c r="K32" s="387"/>
      <c r="L32" s="387"/>
      <c r="M32" s="387"/>
      <c r="N32" s="392"/>
    </row>
    <row r="33" spans="1:14" ht="14.5" thickBot="1">
      <c r="A33" s="396">
        <v>2021</v>
      </c>
      <c r="B33" s="417">
        <v>11760293</v>
      </c>
      <c r="C33" s="118" t="s">
        <v>2621</v>
      </c>
      <c r="D33" s="405"/>
      <c r="E33" s="410">
        <v>44887</v>
      </c>
      <c r="F33" s="644"/>
      <c r="G33" s="387"/>
      <c r="H33" s="387"/>
      <c r="I33" s="387"/>
      <c r="J33" s="387"/>
      <c r="K33" s="387"/>
      <c r="L33" s="387"/>
      <c r="M33" s="387"/>
      <c r="N33" s="392"/>
    </row>
    <row r="34" spans="1:14">
      <c r="A34" s="396"/>
      <c r="B34" s="662"/>
      <c r="C34" s="118" t="s">
        <v>2622</v>
      </c>
      <c r="D34" s="387"/>
      <c r="E34" s="387"/>
      <c r="F34" s="387"/>
      <c r="G34" s="387"/>
      <c r="H34" s="387"/>
      <c r="I34" s="387"/>
      <c r="J34" s="387"/>
      <c r="K34" s="387"/>
      <c r="L34" s="387"/>
      <c r="M34" s="387"/>
      <c r="N34" s="392"/>
    </row>
    <row r="35" spans="1:14" ht="14.5" thickBot="1">
      <c r="A35" s="396"/>
      <c r="B35" s="394" t="s">
        <v>2608</v>
      </c>
      <c r="C35" s="387"/>
      <c r="D35" s="387"/>
      <c r="E35" s="387"/>
      <c r="F35" s="387"/>
      <c r="G35" s="387"/>
      <c r="H35" s="387"/>
      <c r="I35" s="387"/>
      <c r="J35" s="387"/>
      <c r="K35" s="387"/>
      <c r="L35" s="387"/>
      <c r="M35" s="387"/>
      <c r="N35" s="392"/>
    </row>
    <row r="36" spans="1:14" ht="14.5" thickBot="1">
      <c r="A36" s="396">
        <v>2021</v>
      </c>
      <c r="B36" s="417">
        <v>194778574</v>
      </c>
      <c r="C36" s="118" t="s">
        <v>2609</v>
      </c>
      <c r="D36" s="405"/>
      <c r="E36" s="410">
        <v>44887</v>
      </c>
      <c r="F36" s="644"/>
      <c r="G36" s="387"/>
      <c r="H36" s="387"/>
      <c r="I36" s="387"/>
      <c r="J36" s="387"/>
      <c r="K36" s="387"/>
      <c r="L36" s="387"/>
      <c r="M36" s="387"/>
      <c r="N36" s="392"/>
    </row>
    <row r="37" spans="1:14" ht="14.5" thickBot="1">
      <c r="A37" s="413"/>
      <c r="B37" s="684"/>
      <c r="C37" s="414" t="s">
        <v>2622</v>
      </c>
      <c r="D37" s="414"/>
      <c r="E37" s="414"/>
      <c r="F37" s="414"/>
      <c r="G37" s="414"/>
      <c r="H37" s="414"/>
      <c r="I37" s="414"/>
      <c r="J37" s="414"/>
      <c r="K37" s="414"/>
      <c r="L37" s="414"/>
      <c r="M37" s="414"/>
      <c r="N37" s="415"/>
    </row>
  </sheetData>
  <mergeCells count="3">
    <mergeCell ref="B16:H16"/>
    <mergeCell ref="B5:H5"/>
    <mergeCell ref="B9:F9"/>
  </mergeCells>
  <phoneticPr fontId="7" type="noConversion"/>
  <hyperlinks>
    <hyperlink ref="E32" r:id="rId1" xr:uid="{00000000-0004-0000-0200-000000000000}"/>
    <hyperlink ref="J7" r:id="rId2" xr:uid="{00000000-0004-0000-0200-000002000000}"/>
    <hyperlink ref="J8" r:id="rId3" display="https://www.iso-ne.com/isoexpress/web/reports/load-and-demand/-/tree/net-ener-peak-load" xr:uid="{00000000-0004-0000-0200-000003000000}"/>
    <hyperlink ref="J18" r:id="rId4" xr:uid="{00000000-0004-0000-0200-000004000000}"/>
    <hyperlink ref="J10" r:id="rId5" xr:uid="{F5795E41-7D01-4A6C-B230-53DE5050673C}"/>
    <hyperlink ref="J9" r:id="rId6" xr:uid="{315BD2E8-D363-4A54-935E-F2433F6F3E9E}"/>
  </hyperlinks>
  <pageMargins left="0.7" right="0.7" top="0.75" bottom="0.75" header="0.3" footer="0.3"/>
  <pageSetup scale="68" orientation="landscape" r:id="rId7"/>
  <headerFooter>
    <oddFooter>&amp;R&amp;A Page &amp;P of &amp;N</oddFooter>
  </headerFooter>
  <legacyDrawing r:id="rId8"/>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7" tint="0.79998168889431442"/>
    <pageSetUpPr fitToPage="1"/>
  </sheetPr>
  <dimension ref="A1:O235"/>
  <sheetViews>
    <sheetView zoomScaleNormal="100" workbookViewId="0"/>
  </sheetViews>
  <sheetFormatPr defaultColWidth="8.81640625" defaultRowHeight="12.5"/>
  <cols>
    <col min="1" max="1" width="54.1796875" customWidth="1"/>
    <col min="2" max="2" width="16.453125" customWidth="1"/>
    <col min="3" max="3" width="3.453125" customWidth="1"/>
    <col min="4" max="4" width="43.453125" style="28" customWidth="1"/>
    <col min="5" max="5" width="14.54296875" style="28" customWidth="1"/>
    <col min="6" max="7" width="25.453125" style="28" customWidth="1"/>
    <col min="8" max="8" width="3.453125" style="28" customWidth="1"/>
    <col min="9" max="9" width="19" style="28" customWidth="1"/>
    <col min="10" max="10" width="3.453125" style="28" customWidth="1"/>
    <col min="11" max="11" width="14.453125" style="28" customWidth="1"/>
    <col min="12" max="12" width="17.54296875" style="28" customWidth="1"/>
    <col min="13" max="13" width="3.453125" style="28" customWidth="1"/>
    <col min="14" max="14" width="12" style="28" customWidth="1"/>
    <col min="15" max="15" width="14.1796875" style="28" customWidth="1"/>
  </cols>
  <sheetData>
    <row r="1" spans="1:15" ht="21.75" customHeight="1">
      <c r="A1" s="104" t="s">
        <v>2637</v>
      </c>
    </row>
    <row r="2" spans="1:15" ht="14.25" customHeight="1">
      <c r="A2" s="675" t="s">
        <v>3727</v>
      </c>
    </row>
    <row r="3" spans="1:15" ht="15" customHeight="1">
      <c r="A3" s="20" t="s">
        <v>2771</v>
      </c>
    </row>
    <row r="4" spans="1:15" ht="15" customHeight="1">
      <c r="A4" s="20" t="s">
        <v>2638</v>
      </c>
    </row>
    <row r="6" spans="1:15" ht="13">
      <c r="A6" s="790" t="s">
        <v>1554</v>
      </c>
      <c r="B6" s="790"/>
      <c r="D6" s="791" t="s">
        <v>206</v>
      </c>
      <c r="E6" s="791"/>
      <c r="F6" s="791"/>
      <c r="G6" s="77"/>
      <c r="I6" s="77" t="s">
        <v>206</v>
      </c>
      <c r="K6" s="791" t="s">
        <v>206</v>
      </c>
      <c r="L6" s="791"/>
      <c r="N6" s="791" t="s">
        <v>206</v>
      </c>
      <c r="O6" s="791"/>
    </row>
    <row r="7" spans="1:15" ht="13">
      <c r="A7" s="790">
        <v>2021</v>
      </c>
      <c r="B7" s="790"/>
      <c r="D7" s="791" t="s">
        <v>207</v>
      </c>
      <c r="E7" s="791"/>
      <c r="F7" s="791"/>
      <c r="G7" s="77"/>
      <c r="H7" s="78"/>
      <c r="I7" s="77" t="s">
        <v>208</v>
      </c>
      <c r="K7" s="791" t="s">
        <v>209</v>
      </c>
      <c r="L7" s="791"/>
      <c r="N7" s="791" t="s">
        <v>210</v>
      </c>
      <c r="O7" s="791"/>
    </row>
    <row r="8" spans="1:15" s="12" customFormat="1" ht="35.5">
      <c r="A8" s="67"/>
      <c r="B8" s="68" t="s">
        <v>333</v>
      </c>
      <c r="D8" s="79" t="s">
        <v>211</v>
      </c>
      <c r="E8" s="79" t="s">
        <v>212</v>
      </c>
      <c r="F8" s="79" t="s">
        <v>2515</v>
      </c>
      <c r="G8" s="79" t="s">
        <v>2516</v>
      </c>
      <c r="H8" s="28"/>
      <c r="I8" s="66" t="s">
        <v>331</v>
      </c>
      <c r="J8" s="78"/>
      <c r="K8" s="66" t="s">
        <v>332</v>
      </c>
      <c r="L8" s="66" t="s">
        <v>333</v>
      </c>
      <c r="M8" s="78"/>
      <c r="N8" s="66" t="s">
        <v>334</v>
      </c>
      <c r="O8" s="66" t="s">
        <v>333</v>
      </c>
    </row>
    <row r="9" spans="1:15" s="12" customFormat="1" ht="27" customHeight="1">
      <c r="A9" s="69" t="s">
        <v>214</v>
      </c>
      <c r="B9" s="70">
        <f>SUM(B10:B15)</f>
        <v>15738892671.010906</v>
      </c>
      <c r="D9" s="66" t="s">
        <v>215</v>
      </c>
      <c r="E9" s="78"/>
      <c r="F9" s="79" t="s">
        <v>2517</v>
      </c>
      <c r="G9" s="79" t="s">
        <v>2518</v>
      </c>
      <c r="H9" s="80"/>
      <c r="I9" s="78"/>
      <c r="J9" s="78"/>
      <c r="K9" s="78"/>
      <c r="L9" s="78"/>
      <c r="M9" s="78"/>
      <c r="N9" s="78"/>
      <c r="O9" s="78"/>
    </row>
    <row r="10" spans="1:15">
      <c r="A10" s="71" t="s">
        <v>2519</v>
      </c>
      <c r="B10" s="72">
        <f>I23</f>
        <v>3941731296.8606458</v>
      </c>
      <c r="D10" s="81" t="s">
        <v>392</v>
      </c>
      <c r="E10" s="82" t="s">
        <v>43</v>
      </c>
      <c r="F10" s="80">
        <f>'EIA Form 923'!T2436-'EIA Form 923'!W2436</f>
        <v>0</v>
      </c>
      <c r="G10" s="80">
        <f>'EIA Form 923'!T2436</f>
        <v>0</v>
      </c>
      <c r="H10" s="80"/>
      <c r="I10" s="80">
        <f>F10*'GWPs &amp; Fuel EFs'!$N5</f>
        <v>0</v>
      </c>
      <c r="K10" s="80">
        <f>G10*'GWPs &amp; Fuel EFs'!$M33</f>
        <v>0</v>
      </c>
      <c r="L10" s="80">
        <f>K10*'GWPs &amp; Fuel EFs'!$D$11</f>
        <v>0</v>
      </c>
      <c r="N10" s="80">
        <f>G10*'GWPs &amp; Fuel EFs'!$M61</f>
        <v>0</v>
      </c>
      <c r="O10" s="80">
        <f>N10*'GWPs &amp; Fuel EFs'!$E$11</f>
        <v>0</v>
      </c>
    </row>
    <row r="11" spans="1:15">
      <c r="A11" s="71" t="s">
        <v>2520</v>
      </c>
      <c r="B11" s="73">
        <f>'EPA Part 75 &amp; GHGRP'!I421*2000</f>
        <v>11641907548</v>
      </c>
      <c r="D11" s="81" t="s">
        <v>393</v>
      </c>
      <c r="E11" s="82" t="s">
        <v>48</v>
      </c>
      <c r="F11" s="80">
        <f>'EIA Form 923'!T2437-'EIA Form 923'!W2437</f>
        <v>0</v>
      </c>
      <c r="G11" s="80">
        <f>'EIA Form 923'!T2437</f>
        <v>0</v>
      </c>
      <c r="I11" s="80">
        <f>F11*'GWPs &amp; Fuel EFs'!$N6</f>
        <v>0</v>
      </c>
      <c r="K11" s="80">
        <f>G11*'GWPs &amp; Fuel EFs'!$M34</f>
        <v>0</v>
      </c>
      <c r="L11" s="80">
        <f>K11*'GWPs &amp; Fuel EFs'!$D$11</f>
        <v>0</v>
      </c>
      <c r="N11" s="80">
        <f>G11*'GWPs &amp; Fuel EFs'!$M62</f>
        <v>0</v>
      </c>
      <c r="O11" s="80">
        <f>N11*'GWPs &amp; Fuel EFs'!$E$11</f>
        <v>0</v>
      </c>
    </row>
    <row r="12" spans="1:15">
      <c r="A12" s="71" t="s">
        <v>216</v>
      </c>
      <c r="B12" s="72">
        <f>L23</f>
        <v>59477483.720407501</v>
      </c>
      <c r="D12" s="81" t="s">
        <v>381</v>
      </c>
      <c r="E12" s="82" t="s">
        <v>46</v>
      </c>
      <c r="F12" s="80">
        <f>'EIA Form 923'!T2438-'EIA Form 923'!W2438</f>
        <v>120505</v>
      </c>
      <c r="G12" s="80">
        <f>'EIA Form 923'!T2438</f>
        <v>352001</v>
      </c>
      <c r="I12" s="80">
        <f>F12*'GWPs &amp; Fuel EFs'!$N7</f>
        <v>19696605.732033998</v>
      </c>
      <c r="K12" s="80">
        <f>G12*'GWPs &amp; Fuel EFs'!$M35</f>
        <v>2328.08810058786</v>
      </c>
      <c r="L12" s="80">
        <f>K12*'GWPs &amp; Fuel EFs'!$D$11</f>
        <v>58202.202514696502</v>
      </c>
      <c r="N12" s="80">
        <f>G12*'GWPs &amp; Fuel EFs'!$M63</f>
        <v>465.61762011757196</v>
      </c>
      <c r="O12" s="80">
        <f>N12*'GWPs &amp; Fuel EFs'!$E$11</f>
        <v>138754.05079503646</v>
      </c>
    </row>
    <row r="13" spans="1:15">
      <c r="A13" s="71" t="s">
        <v>217</v>
      </c>
      <c r="B13" s="72">
        <f>O23</f>
        <v>90930794.714231849</v>
      </c>
      <c r="D13" s="81" t="s">
        <v>380</v>
      </c>
      <c r="E13" s="82" t="s">
        <v>39</v>
      </c>
      <c r="F13" s="80">
        <f>'EIA Form 923'!T2439-'EIA Form 923'!W2439</f>
        <v>11660951</v>
      </c>
      <c r="G13" s="80">
        <f>'EIA Form 923'!T2439</f>
        <v>109262711</v>
      </c>
      <c r="I13" s="80">
        <f>F13*'GWPs &amp; Fuel EFs'!$N8</f>
        <v>1360208470.140434</v>
      </c>
      <c r="K13" s="80">
        <f>G13*'GWPs &amp; Fuel EFs'!$M36</f>
        <v>240883.04419312283</v>
      </c>
      <c r="L13" s="80">
        <f>K13*'GWPs &amp; Fuel EFs'!$D$11</f>
        <v>6022076.1048280708</v>
      </c>
      <c r="N13" s="80">
        <f>G13*'GWPs &amp; Fuel EFs'!$M64</f>
        <v>24088.304419312281</v>
      </c>
      <c r="O13" s="80">
        <f>N13*'GWPs &amp; Fuel EFs'!$E$11</f>
        <v>7178314.7169550592</v>
      </c>
    </row>
    <row r="14" spans="1:15">
      <c r="A14" s="71" t="s">
        <v>218</v>
      </c>
      <c r="B14" s="72">
        <f>L33</f>
        <v>843159.11151521478</v>
      </c>
      <c r="D14" s="732" t="s">
        <v>394</v>
      </c>
      <c r="E14" s="82" t="s">
        <v>17</v>
      </c>
      <c r="F14" s="80"/>
      <c r="G14" s="80"/>
      <c r="I14" s="733">
        <f>'EPA Part 75 &amp; GHGRP'!G438</f>
        <v>2558722932.281064</v>
      </c>
      <c r="K14" s="80"/>
      <c r="L14" s="733">
        <f>'EPA Part 75 &amp; GHGRP'!G436</f>
        <v>53308326.107254997</v>
      </c>
      <c r="N14" s="80"/>
      <c r="O14" s="733">
        <f>'EPA Part 75 &amp; GHGRP'!G437</f>
        <v>83404612.75456351</v>
      </c>
    </row>
    <row r="15" spans="1:15">
      <c r="A15" s="71" t="s">
        <v>219</v>
      </c>
      <c r="B15" s="72">
        <f>O33</f>
        <v>4002388.6041063215</v>
      </c>
      <c r="D15" s="81" t="s">
        <v>395</v>
      </c>
      <c r="E15" s="82" t="s">
        <v>82</v>
      </c>
      <c r="F15" s="80">
        <f>'EIA Form 923'!T2441-'EIA Form 923'!W2441</f>
        <v>0</v>
      </c>
      <c r="G15" s="80">
        <f>'EIA Form 923'!T2441</f>
        <v>0</v>
      </c>
      <c r="I15" s="80">
        <f>F15*'GWPs &amp; Fuel EFs'!$N10</f>
        <v>0</v>
      </c>
      <c r="K15" s="80">
        <f>G15*'GWPs &amp; Fuel EFs'!$M38</f>
        <v>0</v>
      </c>
      <c r="L15" s="80">
        <f>K15*'GWPs &amp; Fuel EFs'!$D$11</f>
        <v>0</v>
      </c>
      <c r="N15" s="80">
        <f>G15*'GWPs &amp; Fuel EFs'!$M66</f>
        <v>0</v>
      </c>
      <c r="O15" s="80">
        <f>N15*'GWPs &amp; Fuel EFs'!$E$11</f>
        <v>0</v>
      </c>
    </row>
    <row r="16" spans="1:15">
      <c r="A16" s="71"/>
      <c r="B16" s="71"/>
      <c r="D16" s="81" t="s">
        <v>390</v>
      </c>
      <c r="E16" s="82" t="s">
        <v>402</v>
      </c>
      <c r="F16" s="80">
        <f>'EIA Form 923'!T2442-'EIA Form 923'!W2442</f>
        <v>1920</v>
      </c>
      <c r="G16" s="80">
        <f>'EIA Form 923'!T2442</f>
        <v>1920</v>
      </c>
      <c r="I16" s="80">
        <f>F16*'GWPs &amp; Fuel EFs'!$N11</f>
        <v>363899.86828799994</v>
      </c>
      <c r="K16" s="80">
        <f>G16*'GWPs &amp; Fuel EFs'!$M39</f>
        <v>135.4520137728</v>
      </c>
      <c r="L16" s="80">
        <f>K16*'GWPs &amp; Fuel EFs'!$D$11</f>
        <v>3386.30034432</v>
      </c>
      <c r="N16" s="80">
        <f>G16*'GWPs &amp; Fuel EFs'!$M67</f>
        <v>17.778076807679998</v>
      </c>
      <c r="O16" s="80">
        <f>N16*'GWPs &amp; Fuel EFs'!$E$11</f>
        <v>5297.8668886886398</v>
      </c>
    </row>
    <row r="17" spans="1:15">
      <c r="A17" s="71"/>
      <c r="B17" s="649"/>
      <c r="D17" s="81" t="s">
        <v>383</v>
      </c>
      <c r="E17" s="82" t="s">
        <v>65</v>
      </c>
      <c r="F17" s="80">
        <f>'EIA Form 923'!T2443-'EIA Form 923'!W2443</f>
        <v>0</v>
      </c>
      <c r="G17" s="80">
        <f>'EIA Form 923'!T2443</f>
        <v>0</v>
      </c>
      <c r="I17" s="80">
        <f>F17*'GWPs &amp; Fuel EFs'!$N12</f>
        <v>0</v>
      </c>
      <c r="K17" s="80">
        <f>G17*'GWPs &amp; Fuel EFs'!$M40</f>
        <v>0</v>
      </c>
      <c r="L17" s="80">
        <f>K17*'GWPs &amp; Fuel EFs'!$D$11</f>
        <v>0</v>
      </c>
      <c r="N17" s="80">
        <f>G17*'GWPs &amp; Fuel EFs'!$M68</f>
        <v>0</v>
      </c>
      <c r="O17" s="80">
        <f>N17*'GWPs &amp; Fuel EFs'!$E$11</f>
        <v>0</v>
      </c>
    </row>
    <row r="18" spans="1:15">
      <c r="A18" s="71"/>
      <c r="B18" s="71"/>
      <c r="D18" s="81" t="s">
        <v>382</v>
      </c>
      <c r="E18" s="82" t="s">
        <v>61</v>
      </c>
      <c r="F18" s="80">
        <f>'EIA Form 923'!T2444-'EIA Form 923'!W2444</f>
        <v>0</v>
      </c>
      <c r="G18" s="80">
        <f>'EIA Form 923'!T2444</f>
        <v>498597</v>
      </c>
      <c r="I18" s="80">
        <f>F18*'GWPs &amp; Fuel EFs'!$N13</f>
        <v>0</v>
      </c>
      <c r="K18" s="80">
        <f>G18*'GWPs &amp; Fuel EFs'!$M41</f>
        <v>3297.6546733924201</v>
      </c>
      <c r="L18" s="80">
        <f>K18*'GWPs &amp; Fuel EFs'!$D$11</f>
        <v>82441.366834810498</v>
      </c>
      <c r="N18" s="80">
        <f>G18*'GWPs &amp; Fuel EFs'!$M69</f>
        <v>659.53093467848396</v>
      </c>
      <c r="O18" s="80">
        <f>N18*'GWPs &amp; Fuel EFs'!$E$11</f>
        <v>196540.21853418823</v>
      </c>
    </row>
    <row r="19" spans="1:15">
      <c r="A19" s="71"/>
      <c r="B19" s="71"/>
      <c r="D19" s="81" t="s">
        <v>384</v>
      </c>
      <c r="E19" s="82" t="s">
        <v>66</v>
      </c>
      <c r="F19" s="80">
        <f>'EIA Form 923'!T2445-'EIA Form 923'!W2445</f>
        <v>0</v>
      </c>
      <c r="G19" s="80">
        <f>'EIA Form 923'!T2445</f>
        <v>0</v>
      </c>
      <c r="I19" s="80">
        <f>F19*'GWPs &amp; Fuel EFs'!$N14</f>
        <v>0</v>
      </c>
      <c r="K19" s="80">
        <f>G19*'GWPs &amp; Fuel EFs'!$M42</f>
        <v>0</v>
      </c>
      <c r="L19" s="80">
        <f>K19*'GWPs &amp; Fuel EFs'!$D$11</f>
        <v>0</v>
      </c>
      <c r="N19" s="80">
        <f>G19*'GWPs &amp; Fuel EFs'!$M70</f>
        <v>0</v>
      </c>
      <c r="O19" s="80">
        <f>N19*'GWPs &amp; Fuel EFs'!$E$11</f>
        <v>0</v>
      </c>
    </row>
    <row r="20" spans="1:15">
      <c r="A20" s="71"/>
      <c r="B20" s="71"/>
      <c r="D20" s="81" t="s">
        <v>385</v>
      </c>
      <c r="E20" s="82" t="s">
        <v>76</v>
      </c>
      <c r="F20" s="80">
        <f>'EIA Form 923'!T2446-'EIA Form 923'!W2446</f>
        <v>8005</v>
      </c>
      <c r="G20" s="80">
        <f>'EIA Form 923'!T2446</f>
        <v>18456</v>
      </c>
      <c r="I20" s="80">
        <f>F20*'GWPs &amp; Fuel EFs'!$N15</f>
        <v>1291596.9388254459</v>
      </c>
      <c r="K20" s="80">
        <f>G20*'GWPs &amp; Fuel EFs'!$M43</f>
        <v>122.06554522416</v>
      </c>
      <c r="L20" s="80">
        <f>K20*'GWPs &amp; Fuel EFs'!$D$11</f>
        <v>3051.6386306039999</v>
      </c>
      <c r="N20" s="80">
        <f>G20*'GWPs &amp; Fuel EFs'!$M71</f>
        <v>24.413109044831998</v>
      </c>
      <c r="O20" s="80">
        <f>N20*'GWPs &amp; Fuel EFs'!$E$11</f>
        <v>7275.1064953599353</v>
      </c>
    </row>
    <row r="21" spans="1:15">
      <c r="A21" s="71"/>
      <c r="B21" s="71"/>
      <c r="D21" s="81" t="s">
        <v>386</v>
      </c>
      <c r="E21" s="82" t="s">
        <v>73</v>
      </c>
      <c r="F21" s="80">
        <f>'EIA Form 923'!T2447-'EIA Form 923'!W2447</f>
        <v>0</v>
      </c>
      <c r="G21" s="80">
        <f>'EIA Form 923'!T2447</f>
        <v>0</v>
      </c>
      <c r="I21" s="80">
        <f>F21*'GWPs &amp; Fuel EFs'!$N16</f>
        <v>0</v>
      </c>
      <c r="K21" s="80">
        <f>G21*'GWPs &amp; Fuel EFs'!$M44</f>
        <v>0</v>
      </c>
      <c r="L21" s="80">
        <f>K21*'GWPs &amp; Fuel EFs'!$D$11</f>
        <v>0</v>
      </c>
      <c r="N21" s="80">
        <f>G21*'GWPs &amp; Fuel EFs'!$M72</f>
        <v>0</v>
      </c>
      <c r="O21" s="80">
        <f>N21*'GWPs &amp; Fuel EFs'!$E$11</f>
        <v>0</v>
      </c>
    </row>
    <row r="22" spans="1:15">
      <c r="A22" s="71"/>
      <c r="B22" s="71"/>
      <c r="D22" s="81" t="s">
        <v>435</v>
      </c>
      <c r="E22" s="82" t="s">
        <v>426</v>
      </c>
      <c r="F22" s="80">
        <f>'EIA Form 923'!T2448-'EIA Form 923'!W2448</f>
        <v>0</v>
      </c>
      <c r="G22" s="80">
        <f>'EIA Form 923'!T2448</f>
        <v>0</v>
      </c>
      <c r="I22" s="80">
        <f>F22*'GWPs &amp; Fuel EFs'!$N17</f>
        <v>0</v>
      </c>
      <c r="K22" s="80">
        <f>G22*'GWPs &amp; Fuel EFs'!$M45</f>
        <v>0</v>
      </c>
      <c r="L22" s="80">
        <f>K22*'GWPs &amp; Fuel EFs'!$D$11</f>
        <v>0</v>
      </c>
      <c r="N22" s="80">
        <f>G22*'GWPs &amp; Fuel EFs'!$M73</f>
        <v>0</v>
      </c>
      <c r="O22" s="80">
        <f>N22*'GWPs &amp; Fuel EFs'!$E$11</f>
        <v>0</v>
      </c>
    </row>
    <row r="23" spans="1:15">
      <c r="A23" s="71"/>
      <c r="B23" s="71"/>
      <c r="D23" s="135" t="s">
        <v>3077</v>
      </c>
      <c r="E23" s="136" t="s">
        <v>3074</v>
      </c>
      <c r="F23" s="143">
        <f>'EIA Form 923'!U2612*'GWPs &amp; Fuel EFs'!$E$34</f>
        <v>1447791.9</v>
      </c>
      <c r="G23" s="143" t="s">
        <v>3080</v>
      </c>
      <c r="I23" s="83">
        <f>SUM(I10:I22)+F23</f>
        <v>3941731296.8606458</v>
      </c>
      <c r="K23" s="80"/>
      <c r="L23" s="83">
        <f>SUM(L10:L22)</f>
        <v>59477483.720407501</v>
      </c>
      <c r="N23" s="80"/>
      <c r="O23" s="83">
        <f>SUM(O10:O22)</f>
        <v>90930794.714231849</v>
      </c>
    </row>
    <row r="24" spans="1:15" ht="13">
      <c r="A24" s="74" t="s">
        <v>220</v>
      </c>
      <c r="B24" s="70">
        <f>I33</f>
        <v>4114825833.8093505</v>
      </c>
      <c r="D24" s="66" t="s">
        <v>221</v>
      </c>
      <c r="F24" s="80"/>
      <c r="G24" s="80"/>
      <c r="I24" s="83"/>
      <c r="K24" s="80"/>
      <c r="L24" s="83"/>
      <c r="N24" s="80"/>
      <c r="O24" s="83"/>
    </row>
    <row r="25" spans="1:15">
      <c r="A25" s="71"/>
      <c r="B25" s="71"/>
      <c r="D25" s="81" t="s">
        <v>388</v>
      </c>
      <c r="E25" s="82" t="s">
        <v>63</v>
      </c>
      <c r="F25" s="80">
        <f>'EIA Form 923'!T2450-'EIA Form 923'!W2450</f>
        <v>1605038</v>
      </c>
      <c r="G25" s="80">
        <f>'EIA Form 923'!T2450</f>
        <v>1605038</v>
      </c>
      <c r="I25" s="80">
        <f>F25*'GWPs &amp; Fuel EFs'!$N20</f>
        <v>184249855.41515028</v>
      </c>
      <c r="K25" s="80">
        <f>G25*'GWPs &amp; Fuel EFs'!$M48</f>
        <v>11323.209858430591</v>
      </c>
      <c r="L25" s="80">
        <f>K25*'GWPs &amp; Fuel EFs'!$D$11</f>
        <v>283080.24646076479</v>
      </c>
      <c r="N25" s="80">
        <f>G25*'GWPs &amp; Fuel EFs'!$M76</f>
        <v>2229.2569408785225</v>
      </c>
      <c r="O25" s="80">
        <f>N25*'GWPs &amp; Fuel EFs'!$E$11</f>
        <v>664318.56838179973</v>
      </c>
    </row>
    <row r="26" spans="1:15">
      <c r="A26" s="71"/>
      <c r="B26" s="73"/>
      <c r="D26" s="732" t="s">
        <v>391</v>
      </c>
      <c r="E26" s="82" t="s">
        <v>16</v>
      </c>
      <c r="F26" s="80"/>
      <c r="G26" s="80"/>
      <c r="I26" s="733">
        <f>'EPA Part 75 &amp; GHGRP'!G439</f>
        <v>3638712658.715826</v>
      </c>
      <c r="K26" s="80"/>
      <c r="L26" s="733"/>
      <c r="N26" s="80"/>
      <c r="O26" s="733"/>
    </row>
    <row r="27" spans="1:15">
      <c r="A27" s="71"/>
      <c r="B27" s="71"/>
      <c r="D27" s="81" t="s">
        <v>387</v>
      </c>
      <c r="E27" s="82" t="s">
        <v>154</v>
      </c>
      <c r="F27" s="80">
        <f>'EIA Form 923'!T2452-'EIA Form 923'!W2452</f>
        <v>0</v>
      </c>
      <c r="G27" s="80">
        <f>'EIA Form 923'!T2452</f>
        <v>0</v>
      </c>
      <c r="I27" s="80">
        <f>F27*'GWPs &amp; Fuel EFs'!$N22</f>
        <v>0</v>
      </c>
      <c r="K27" s="80">
        <f>G27*'GWPs &amp; Fuel EFs'!$M50</f>
        <v>0</v>
      </c>
      <c r="L27" s="80">
        <f>K27*'GWPs &amp; Fuel EFs'!$D$11</f>
        <v>0</v>
      </c>
      <c r="N27" s="80">
        <f>G27*'GWPs &amp; Fuel EFs'!$M78</f>
        <v>0</v>
      </c>
      <c r="O27" s="80">
        <f>N27*'GWPs &amp; Fuel EFs'!$E$11</f>
        <v>0</v>
      </c>
    </row>
    <row r="28" spans="1:15">
      <c r="A28" s="71"/>
      <c r="B28" s="71"/>
      <c r="D28" s="81" t="s">
        <v>396</v>
      </c>
      <c r="E28" s="82" t="s">
        <v>69</v>
      </c>
      <c r="F28" s="80">
        <f>'EIA Form 923'!T2453-'EIA Form 923'!W2453</f>
        <v>1411375</v>
      </c>
      <c r="G28" s="80">
        <f>'EIA Form 923'!T2453</f>
        <v>1411375</v>
      </c>
      <c r="I28" s="80">
        <f>F28*'GWPs &amp; Fuel EFs'!$N23</f>
        <v>291863319.67837447</v>
      </c>
      <c r="K28" s="80">
        <f>G28*'GWPs &amp; Fuel EFs'!$M51</f>
        <v>22403.154602177998</v>
      </c>
      <c r="L28" s="80">
        <f>K28*'GWPs &amp; Fuel EFs'!$D$11</f>
        <v>560078.86505445</v>
      </c>
      <c r="N28" s="80">
        <f>G28*'GWPs &amp; Fuel EFs'!$M79</f>
        <v>11201.577301088999</v>
      </c>
      <c r="O28" s="80">
        <f>N28*'GWPs &amp; Fuel EFs'!$E$11</f>
        <v>3338070.0357245216</v>
      </c>
    </row>
    <row r="29" spans="1:15">
      <c r="A29" s="71"/>
      <c r="B29" s="71"/>
      <c r="D29" s="81" t="s">
        <v>389</v>
      </c>
      <c r="E29" s="82" t="s">
        <v>155</v>
      </c>
      <c r="F29" s="80">
        <f>'EIA Form 923'!T2454-'EIA Form 923'!W2454</f>
        <v>0</v>
      </c>
      <c r="G29" s="80">
        <f>'EIA Form 923'!T2454</f>
        <v>0</v>
      </c>
      <c r="I29" s="80">
        <f>F29*'GWPs &amp; Fuel EFs'!$N24</f>
        <v>0</v>
      </c>
      <c r="K29" s="80">
        <f>G29*'GWPs &amp; Fuel EFs'!$M52</f>
        <v>0</v>
      </c>
      <c r="L29" s="80">
        <f>K29*'GWPs &amp; Fuel EFs'!$D$11</f>
        <v>0</v>
      </c>
      <c r="N29" s="80">
        <f>G29*'GWPs &amp; Fuel EFs'!$M80</f>
        <v>0</v>
      </c>
      <c r="O29" s="80">
        <f>N29*'GWPs &amp; Fuel EFs'!$E$11</f>
        <v>0</v>
      </c>
    </row>
    <row r="30" spans="1:15">
      <c r="A30" s="71"/>
      <c r="B30" s="71"/>
      <c r="D30" s="81" t="s">
        <v>437</v>
      </c>
      <c r="E30" s="82" t="s">
        <v>419</v>
      </c>
      <c r="F30" s="80">
        <f>'EIA Form 923'!T2455-'EIA Form 923'!W2455</f>
        <v>0</v>
      </c>
      <c r="G30" s="80">
        <f>'EIA Form 923'!T2455</f>
        <v>0</v>
      </c>
      <c r="I30" s="80">
        <f>F30*'GWPs &amp; Fuel EFs'!$N25</f>
        <v>0</v>
      </c>
      <c r="K30" s="80">
        <f>G30*'GWPs &amp; Fuel EFs'!$M53</f>
        <v>0</v>
      </c>
      <c r="L30" s="80">
        <f>K30*'GWPs &amp; Fuel EFs'!$D$11</f>
        <v>0</v>
      </c>
      <c r="N30" s="80">
        <f>G30*'GWPs &amp; Fuel EFs'!$M81</f>
        <v>0</v>
      </c>
      <c r="O30" s="80">
        <f>N30*'GWPs &amp; Fuel EFs'!$E$11</f>
        <v>0</v>
      </c>
    </row>
    <row r="31" spans="1:15">
      <c r="A31" s="71"/>
      <c r="B31" s="71"/>
      <c r="D31" s="81" t="s">
        <v>2508</v>
      </c>
      <c r="E31" s="82" t="s">
        <v>424</v>
      </c>
      <c r="F31" s="80">
        <f>'EIA Form 923'!T2456-'EIA Form 923'!W2456</f>
        <v>0</v>
      </c>
      <c r="G31" s="80">
        <f>'EIA Form 923'!T2456</f>
        <v>0</v>
      </c>
      <c r="I31" s="80">
        <f>F31*'GWPs &amp; Fuel EFs'!$N26</f>
        <v>0</v>
      </c>
      <c r="K31" s="80">
        <f>G31*'GWPs &amp; Fuel EFs'!$M54</f>
        <v>0</v>
      </c>
      <c r="L31" s="80">
        <f>K31*'GWPs &amp; Fuel EFs'!$D$11</f>
        <v>0</v>
      </c>
      <c r="N31" s="80">
        <f>G31*'GWPs &amp; Fuel EFs'!$M82</f>
        <v>0</v>
      </c>
      <c r="O31" s="80">
        <f>N31*'GWPs &amp; Fuel EFs'!$E$11</f>
        <v>0</v>
      </c>
    </row>
    <row r="32" spans="1:15">
      <c r="A32" s="71"/>
      <c r="B32" s="71"/>
      <c r="D32" s="81" t="s">
        <v>436</v>
      </c>
      <c r="E32" s="82" t="s">
        <v>68</v>
      </c>
      <c r="F32" s="80">
        <f>'EIA Form 923'!T2457-'EIA Form 923'!W2457</f>
        <v>0</v>
      </c>
      <c r="G32" s="80">
        <f>'EIA Form 923'!T2457</f>
        <v>0</v>
      </c>
      <c r="I32" s="80">
        <f>F32*'GWPs &amp; Fuel EFs'!$N27</f>
        <v>0</v>
      </c>
      <c r="K32" s="80">
        <f>G32*'GWPs &amp; Fuel EFs'!$M55</f>
        <v>0</v>
      </c>
      <c r="L32" s="80">
        <f>K32*'GWPs &amp; Fuel EFs'!$D$11</f>
        <v>0</v>
      </c>
      <c r="N32" s="80">
        <f>G32*'GWPs &amp; Fuel EFs'!$M83</f>
        <v>0</v>
      </c>
      <c r="O32" s="80">
        <f>N32*'GWPs &amp; Fuel EFs'!$E$11</f>
        <v>0</v>
      </c>
    </row>
    <row r="33" spans="1:15">
      <c r="A33" s="75"/>
      <c r="B33" s="76"/>
      <c r="I33" s="83">
        <f>SUM(I25:I32)</f>
        <v>4114825833.8093505</v>
      </c>
      <c r="L33" s="83">
        <f>SUM(L25:L32)</f>
        <v>843159.11151521478</v>
      </c>
      <c r="O33" s="83">
        <f>SUM(O25:O32)</f>
        <v>4002388.6041063215</v>
      </c>
    </row>
    <row r="34" spans="1:15">
      <c r="A34" s="75"/>
      <c r="B34" s="76"/>
    </row>
    <row r="35" spans="1:15">
      <c r="A35" s="13"/>
      <c r="B35" s="13"/>
      <c r="D35" s="84"/>
      <c r="E35" s="84"/>
      <c r="F35" s="84"/>
      <c r="G35" s="84"/>
      <c r="I35" s="84"/>
      <c r="K35" s="84"/>
      <c r="L35" s="84"/>
      <c r="N35" s="84"/>
      <c r="O35" s="84"/>
    </row>
    <row r="36" spans="1:15" ht="13">
      <c r="A36" s="790" t="s">
        <v>1555</v>
      </c>
      <c r="B36" s="790"/>
      <c r="D36" s="87" t="s">
        <v>226</v>
      </c>
      <c r="E36" s="87"/>
      <c r="F36" s="87"/>
      <c r="G36" s="87"/>
      <c r="I36" s="77" t="s">
        <v>226</v>
      </c>
      <c r="K36" s="791" t="s">
        <v>226</v>
      </c>
      <c r="L36" s="791"/>
      <c r="N36" s="791" t="s">
        <v>226</v>
      </c>
      <c r="O36" s="791"/>
    </row>
    <row r="37" spans="1:15" ht="13">
      <c r="A37" s="790">
        <f>A7</f>
        <v>2021</v>
      </c>
      <c r="B37" s="790"/>
      <c r="D37" s="87" t="s">
        <v>207</v>
      </c>
      <c r="E37" s="87"/>
      <c r="F37" s="87"/>
      <c r="G37" s="87"/>
      <c r="I37" s="77" t="s">
        <v>208</v>
      </c>
      <c r="K37" s="791" t="s">
        <v>209</v>
      </c>
      <c r="L37" s="791"/>
      <c r="N37" s="791" t="s">
        <v>210</v>
      </c>
      <c r="O37" s="791"/>
    </row>
    <row r="38" spans="1:15" s="12" customFormat="1" ht="35.5">
      <c r="A38" s="67"/>
      <c r="B38" s="68" t="s">
        <v>333</v>
      </c>
      <c r="D38" s="79" t="s">
        <v>211</v>
      </c>
      <c r="E38" s="79" t="s">
        <v>212</v>
      </c>
      <c r="F38" s="79" t="s">
        <v>2515</v>
      </c>
      <c r="G38" s="79" t="s">
        <v>2516</v>
      </c>
      <c r="H38" s="28"/>
      <c r="I38" s="66" t="s">
        <v>331</v>
      </c>
      <c r="J38" s="78"/>
      <c r="K38" s="66" t="s">
        <v>332</v>
      </c>
      <c r="L38" s="66" t="s">
        <v>333</v>
      </c>
      <c r="M38" s="78"/>
      <c r="N38" s="66" t="s">
        <v>334</v>
      </c>
      <c r="O38" s="66" t="s">
        <v>333</v>
      </c>
    </row>
    <row r="39" spans="1:15" ht="26.25" customHeight="1">
      <c r="A39" s="69" t="s">
        <v>214</v>
      </c>
      <c r="B39" s="70">
        <f>SUM(B40:B45)</f>
        <v>21812810732.788338</v>
      </c>
      <c r="D39" s="66" t="s">
        <v>215</v>
      </c>
      <c r="E39" s="66"/>
      <c r="F39" s="79" t="s">
        <v>2517</v>
      </c>
      <c r="G39" s="79" t="s">
        <v>2518</v>
      </c>
      <c r="K39" s="78"/>
      <c r="L39" s="78"/>
      <c r="N39" s="78"/>
      <c r="O39" s="78"/>
    </row>
    <row r="40" spans="1:15">
      <c r="A40" s="71" t="s">
        <v>2519</v>
      </c>
      <c r="B40" s="72">
        <f>I53</f>
        <v>1948596024.0798519</v>
      </c>
      <c r="D40" s="81" t="s">
        <v>392</v>
      </c>
      <c r="E40" s="82" t="s">
        <v>43</v>
      </c>
      <c r="F40" s="80">
        <f>'EIA Form 923'!T2461-'EIA Form 923'!W2461</f>
        <v>0</v>
      </c>
      <c r="G40" s="80">
        <f>'EIA Form 923'!T2461</f>
        <v>0</v>
      </c>
      <c r="I40" s="80">
        <f>F40*'GWPs &amp; Fuel EFs'!$N5</f>
        <v>0</v>
      </c>
      <c r="K40" s="80">
        <f>G40*'GWPs &amp; Fuel EFs'!$M33</f>
        <v>0</v>
      </c>
      <c r="L40" s="80">
        <f>K40*'GWPs &amp; Fuel EFs'!$D$11</f>
        <v>0</v>
      </c>
      <c r="N40" s="80">
        <f>G40*'GWPs &amp; Fuel EFs'!$M61</f>
        <v>0</v>
      </c>
      <c r="O40" s="80">
        <f>N40*'GWPs &amp; Fuel EFs'!$E$11</f>
        <v>0</v>
      </c>
    </row>
    <row r="41" spans="1:15">
      <c r="A41" s="71" t="s">
        <v>2520</v>
      </c>
      <c r="B41" s="73">
        <f>'EPA Part 75 &amp; GHGRP'!I420*2000</f>
        <v>19746555040.000004</v>
      </c>
      <c r="D41" s="81" t="s">
        <v>393</v>
      </c>
      <c r="E41" s="82" t="s">
        <v>48</v>
      </c>
      <c r="F41" s="80">
        <f>'EIA Form 923'!T2462-'EIA Form 923'!W2462</f>
        <v>0</v>
      </c>
      <c r="G41" s="80">
        <f>'EIA Form 923'!T2462</f>
        <v>2879622</v>
      </c>
      <c r="I41" s="80">
        <f>F41*'GWPs &amp; Fuel EFs'!$N6</f>
        <v>0</v>
      </c>
      <c r="K41" s="80">
        <f>G41*'GWPs &amp; Fuel EFs'!$M34</f>
        <v>69833.277780746037</v>
      </c>
      <c r="L41" s="80">
        <f>K41*'GWPs &amp; Fuel EFs'!$D$11</f>
        <v>1745831.9445186509</v>
      </c>
      <c r="N41" s="80">
        <f>G41*'GWPs &amp; Fuel EFs'!$M62</f>
        <v>10157.567677199424</v>
      </c>
      <c r="O41" s="80">
        <f>N41*'GWPs &amp; Fuel EFs'!$E$11</f>
        <v>3026955.1678054282</v>
      </c>
    </row>
    <row r="42" spans="1:15">
      <c r="A42" s="71" t="s">
        <v>216</v>
      </c>
      <c r="B42" s="72">
        <f>L53</f>
        <v>43387769.416174777</v>
      </c>
      <c r="D42" s="81" t="s">
        <v>381</v>
      </c>
      <c r="E42" s="82" t="s">
        <v>46</v>
      </c>
      <c r="F42" s="80">
        <f>'EIA Form 923'!T2463-'EIA Form 923'!W2463</f>
        <v>116996</v>
      </c>
      <c r="G42" s="80">
        <f>'EIA Form 923'!T2463</f>
        <v>245539</v>
      </c>
      <c r="I42" s="80">
        <f>F42*'GWPs &amp; Fuel EFs'!$N7</f>
        <v>19123057.833492797</v>
      </c>
      <c r="K42" s="80">
        <f>G42*'GWPs &amp; Fuel EFs'!$M35</f>
        <v>1623.9625004765401</v>
      </c>
      <c r="L42" s="80">
        <f>K42*'GWPs &amp; Fuel EFs'!$D$11</f>
        <v>40599.0625119135</v>
      </c>
      <c r="N42" s="80">
        <f>G42*'GWPs &amp; Fuel EFs'!$M63</f>
        <v>324.79250009530796</v>
      </c>
      <c r="O42" s="80">
        <f>N42*'GWPs &amp; Fuel EFs'!$E$11</f>
        <v>96788.165028401767</v>
      </c>
    </row>
    <row r="43" spans="1:15">
      <c r="A43" s="71" t="s">
        <v>217</v>
      </c>
      <c r="B43" s="72">
        <f>O53</f>
        <v>64920120.704644553</v>
      </c>
      <c r="D43" s="81" t="s">
        <v>380</v>
      </c>
      <c r="E43" s="82" t="s">
        <v>39</v>
      </c>
      <c r="F43" s="80">
        <f>'EIA Form 923'!T2464-'EIA Form 923'!W2464</f>
        <v>816142</v>
      </c>
      <c r="G43" s="80">
        <f>'EIA Form 923'!T2464</f>
        <v>164767691</v>
      </c>
      <c r="I43" s="80">
        <f>F43*'GWPs &amp; Fuel EFs'!$N8</f>
        <v>95200062.262276381</v>
      </c>
      <c r="K43" s="80">
        <f>G43*'GWPs &amp; Fuel EFs'!$M36</f>
        <v>363250.57862377039</v>
      </c>
      <c r="L43" s="80">
        <f>K43*'GWPs &amp; Fuel EFs'!$D$11</f>
        <v>9081264.46559426</v>
      </c>
      <c r="N43" s="80">
        <f>G43*'GWPs &amp; Fuel EFs'!$M64</f>
        <v>36325.057862377042</v>
      </c>
      <c r="O43" s="80">
        <f>N43*'GWPs &amp; Fuel EFs'!$E$11</f>
        <v>10824867.242988359</v>
      </c>
    </row>
    <row r="44" spans="1:15">
      <c r="A44" s="71" t="s">
        <v>218</v>
      </c>
      <c r="B44" s="72">
        <f>L63</f>
        <v>1349871.0984987235</v>
      </c>
      <c r="D44" s="732" t="s">
        <v>394</v>
      </c>
      <c r="E44" s="82" t="s">
        <v>17</v>
      </c>
      <c r="F44" s="80"/>
      <c r="G44" s="80"/>
      <c r="I44" s="733">
        <f>'EPA Part 75 &amp; GHGRP'!F438</f>
        <v>1578364070.3648181</v>
      </c>
      <c r="K44" s="80"/>
      <c r="L44" s="733">
        <f>'EPA Part 75 &amp; GHGRP'!F436</f>
        <v>32411259.447930001</v>
      </c>
      <c r="N44" s="80"/>
      <c r="O44" s="733">
        <f>'EPA Part 75 &amp; GHGRP'!F437</f>
        <v>50712096.371264398</v>
      </c>
    </row>
    <row r="45" spans="1:15">
      <c r="A45" s="71" t="s">
        <v>219</v>
      </c>
      <c r="B45" s="72">
        <f>O63</f>
        <v>8001907.4891615501</v>
      </c>
      <c r="D45" s="81" t="s">
        <v>395</v>
      </c>
      <c r="E45" s="82" t="s">
        <v>82</v>
      </c>
      <c r="F45" s="80">
        <f>'EIA Form 923'!T2466-'EIA Form 923'!W2466</f>
        <v>0</v>
      </c>
      <c r="G45" s="80">
        <f>'EIA Form 923'!T2466</f>
        <v>0</v>
      </c>
      <c r="I45" s="80">
        <f>F45*'GWPs &amp; Fuel EFs'!$N10</f>
        <v>0</v>
      </c>
      <c r="K45" s="80">
        <f>G45*'GWPs &amp; Fuel EFs'!$M38</f>
        <v>0</v>
      </c>
      <c r="L45" s="80">
        <f>K45*'GWPs &amp; Fuel EFs'!$D$11</f>
        <v>0</v>
      </c>
      <c r="N45" s="80">
        <f>G45*'GWPs &amp; Fuel EFs'!$M66</f>
        <v>0</v>
      </c>
      <c r="O45" s="80">
        <f>N45*'GWPs &amp; Fuel EFs'!$E$11</f>
        <v>0</v>
      </c>
    </row>
    <row r="46" spans="1:15">
      <c r="A46" s="71"/>
      <c r="B46" s="71"/>
      <c r="D46" s="81" t="s">
        <v>390</v>
      </c>
      <c r="E46" s="82" t="s">
        <v>402</v>
      </c>
      <c r="F46" s="80">
        <f>'EIA Form 923'!T2467-'EIA Form 923'!W2467</f>
        <v>0</v>
      </c>
      <c r="G46" s="80">
        <f>'EIA Form 923'!T2467</f>
        <v>0</v>
      </c>
      <c r="I46" s="80">
        <f>F46*'GWPs &amp; Fuel EFs'!$N11</f>
        <v>0</v>
      </c>
      <c r="K46" s="80">
        <f>G46*'GWPs &amp; Fuel EFs'!$M39</f>
        <v>0</v>
      </c>
      <c r="L46" s="80">
        <f>K46*'GWPs &amp; Fuel EFs'!$D$11</f>
        <v>0</v>
      </c>
      <c r="N46" s="80">
        <f>G46*'GWPs &amp; Fuel EFs'!$M67</f>
        <v>0</v>
      </c>
      <c r="O46" s="80">
        <f>N46*'GWPs &amp; Fuel EFs'!$E$11</f>
        <v>0</v>
      </c>
    </row>
    <row r="47" spans="1:15">
      <c r="A47" s="71"/>
      <c r="B47" s="71"/>
      <c r="D47" s="81" t="s">
        <v>383</v>
      </c>
      <c r="E47" s="82" t="s">
        <v>65</v>
      </c>
      <c r="F47" s="80">
        <f>'EIA Form 923'!T2468-'EIA Form 923'!W2468</f>
        <v>0</v>
      </c>
      <c r="G47" s="80">
        <f>'EIA Form 923'!T2468</f>
        <v>0</v>
      </c>
      <c r="I47" s="80">
        <f>F47*'GWPs &amp; Fuel EFs'!$N12</f>
        <v>0</v>
      </c>
      <c r="K47" s="80">
        <f>G47*'GWPs &amp; Fuel EFs'!$M40</f>
        <v>0</v>
      </c>
      <c r="L47" s="80">
        <f>K47*'GWPs &amp; Fuel EFs'!$D$11</f>
        <v>0</v>
      </c>
      <c r="N47" s="80">
        <f>G47*'GWPs &amp; Fuel EFs'!$M68</f>
        <v>0</v>
      </c>
      <c r="O47" s="80">
        <f>N47*'GWPs &amp; Fuel EFs'!$E$11</f>
        <v>0</v>
      </c>
    </row>
    <row r="48" spans="1:15">
      <c r="A48" s="71"/>
      <c r="B48" s="71"/>
      <c r="D48" s="81" t="s">
        <v>382</v>
      </c>
      <c r="E48" s="82" t="s">
        <v>61</v>
      </c>
      <c r="F48" s="80">
        <f>'EIA Form 923'!T2469-'EIA Form 923'!W2469</f>
        <v>0</v>
      </c>
      <c r="G48" s="80">
        <f>'EIA Form 923'!T2469</f>
        <v>416369</v>
      </c>
      <c r="I48" s="80">
        <f>F48*'GWPs &amp; Fuel EFs'!$N13</f>
        <v>0</v>
      </c>
      <c r="K48" s="80">
        <f>G48*'GWPs &amp; Fuel EFs'!$M41</f>
        <v>2753.80954700034</v>
      </c>
      <c r="L48" s="80">
        <f>K48*'GWPs &amp; Fuel EFs'!$D$11</f>
        <v>68845.238675008499</v>
      </c>
      <c r="N48" s="80">
        <f>G48*'GWPs &amp; Fuel EFs'!$M69</f>
        <v>550.76190940006791</v>
      </c>
      <c r="O48" s="80">
        <f>N48*'GWPs &amp; Fuel EFs'!$E$11</f>
        <v>164127.04900122024</v>
      </c>
    </row>
    <row r="49" spans="1:15">
      <c r="A49" s="71"/>
      <c r="B49" s="71"/>
      <c r="D49" s="81" t="s">
        <v>384</v>
      </c>
      <c r="E49" s="82" t="s">
        <v>66</v>
      </c>
      <c r="F49" s="80">
        <f>'EIA Form 923'!T2470-'EIA Form 923'!W2470</f>
        <v>3174</v>
      </c>
      <c r="G49" s="80">
        <f>'EIA Form 923'!T2470</f>
        <v>3174</v>
      </c>
      <c r="I49" s="80">
        <f>F49*'GWPs &amp; Fuel EFs'!$N14</f>
        <v>505450.11760712031</v>
      </c>
      <c r="K49" s="80">
        <f>G49*'GWPs &amp; Fuel EFs'!$M42</f>
        <v>20.992416587640001</v>
      </c>
      <c r="L49" s="80">
        <f>K49*'GWPs &amp; Fuel EFs'!$D$11</f>
        <v>524.81041469100001</v>
      </c>
      <c r="N49" s="80">
        <f>G49*'GWPs &amp; Fuel EFs'!$M70</f>
        <v>4.1984833175279999</v>
      </c>
      <c r="O49" s="80">
        <f>N49*'GWPs &amp; Fuel EFs'!$E$11</f>
        <v>1251.1480286233439</v>
      </c>
    </row>
    <row r="50" spans="1:15">
      <c r="A50" s="71"/>
      <c r="B50" s="71"/>
      <c r="D50" s="81" t="s">
        <v>385</v>
      </c>
      <c r="E50" s="82" t="s">
        <v>76</v>
      </c>
      <c r="F50" s="80">
        <f>'EIA Form 923'!T2471-'EIA Form 923'!W2471</f>
        <v>149560</v>
      </c>
      <c r="G50" s="80">
        <f>'EIA Form 923'!T2471</f>
        <v>238556</v>
      </c>
      <c r="I50" s="80">
        <f>F50*'GWPs &amp; Fuel EFs'!$N15</f>
        <v>24131322.694657549</v>
      </c>
      <c r="K50" s="80">
        <f>G50*'GWPs &amp; Fuel EFs'!$M43</f>
        <v>1577.7778612101599</v>
      </c>
      <c r="L50" s="80">
        <f>K50*'GWPs &amp; Fuel EFs'!$D$11</f>
        <v>39444.446530253997</v>
      </c>
      <c r="N50" s="80">
        <f>G50*'GWPs &amp; Fuel EFs'!$M71</f>
        <v>315.55557224203199</v>
      </c>
      <c r="O50" s="80">
        <f>N50*'GWPs &amp; Fuel EFs'!$E$11</f>
        <v>94035.560528125527</v>
      </c>
    </row>
    <row r="51" spans="1:15">
      <c r="A51" s="71"/>
      <c r="B51" s="71"/>
      <c r="D51" s="81" t="s">
        <v>386</v>
      </c>
      <c r="E51" s="82" t="s">
        <v>73</v>
      </c>
      <c r="F51" s="80">
        <f>'EIA Form 923'!T2472-'EIA Form 923'!W2472</f>
        <v>0</v>
      </c>
      <c r="G51" s="80">
        <f>'EIA Form 923'!T2472</f>
        <v>0</v>
      </c>
      <c r="I51" s="80">
        <f>F51*'GWPs &amp; Fuel EFs'!$N16</f>
        <v>0</v>
      </c>
      <c r="K51" s="80">
        <f>G51*'GWPs &amp; Fuel EFs'!$M44</f>
        <v>0</v>
      </c>
      <c r="L51" s="80">
        <f>K51*'GWPs &amp; Fuel EFs'!$D$11</f>
        <v>0</v>
      </c>
      <c r="N51" s="80">
        <f>G51*'GWPs &amp; Fuel EFs'!$M72</f>
        <v>0</v>
      </c>
      <c r="O51" s="80">
        <f>N51*'GWPs &amp; Fuel EFs'!$E$11</f>
        <v>0</v>
      </c>
    </row>
    <row r="52" spans="1:15">
      <c r="A52" s="71"/>
      <c r="B52" s="71"/>
      <c r="D52" s="81" t="s">
        <v>435</v>
      </c>
      <c r="E52" s="82" t="s">
        <v>426</v>
      </c>
      <c r="F52" s="80">
        <f>'EIA Form 923'!T2473-'EIA Form 923'!W2473</f>
        <v>0</v>
      </c>
      <c r="G52" s="80">
        <f>'EIA Form 923'!T2473</f>
        <v>0</v>
      </c>
      <c r="I52" s="80">
        <f>F52*'GWPs &amp; Fuel EFs'!$N17</f>
        <v>0</v>
      </c>
      <c r="K52" s="80">
        <f>G52*'GWPs &amp; Fuel EFs'!$M45</f>
        <v>0</v>
      </c>
      <c r="L52" s="80">
        <f>K52*'GWPs &amp; Fuel EFs'!$D$11</f>
        <v>0</v>
      </c>
      <c r="N52" s="80">
        <f>G52*'GWPs &amp; Fuel EFs'!$M73</f>
        <v>0</v>
      </c>
      <c r="O52" s="80">
        <f>N52*'GWPs &amp; Fuel EFs'!$E$11</f>
        <v>0</v>
      </c>
    </row>
    <row r="53" spans="1:15">
      <c r="A53" s="71"/>
      <c r="B53" s="71"/>
      <c r="D53" s="135" t="s">
        <v>3077</v>
      </c>
      <c r="E53" s="136" t="s">
        <v>3074</v>
      </c>
      <c r="F53" s="143">
        <f>'EIA Form 923'!U2613*'GWPs &amp; Fuel EFs'!$E$34</f>
        <v>231272060.80699998</v>
      </c>
      <c r="G53" s="143" t="s">
        <v>3080</v>
      </c>
      <c r="I53" s="83">
        <f>SUM(I40:I52)+F53</f>
        <v>1948596024.0798519</v>
      </c>
      <c r="K53" s="80"/>
      <c r="L53" s="83">
        <f>SUM(L40:L52)</f>
        <v>43387769.416174777</v>
      </c>
      <c r="N53" s="80"/>
      <c r="O53" s="83">
        <f>SUM(O40:O52)</f>
        <v>64920120.704644553</v>
      </c>
    </row>
    <row r="54" spans="1:15" ht="13">
      <c r="A54" s="74" t="s">
        <v>220</v>
      </c>
      <c r="B54" s="70">
        <f>I63</f>
        <v>3084881726.3643193</v>
      </c>
      <c r="D54" s="66" t="s">
        <v>221</v>
      </c>
      <c r="F54" s="80"/>
      <c r="G54" s="80"/>
      <c r="I54" s="83"/>
      <c r="K54" s="80"/>
      <c r="L54" s="83"/>
      <c r="N54" s="80"/>
      <c r="O54" s="83"/>
    </row>
    <row r="55" spans="1:15">
      <c r="A55" s="71"/>
      <c r="B55" s="73"/>
      <c r="D55" s="81" t="s">
        <v>388</v>
      </c>
      <c r="E55" s="82" t="s">
        <v>63</v>
      </c>
      <c r="F55" s="80">
        <f>'EIA Form 923'!T2475-'EIA Form 923'!W2475</f>
        <v>70995</v>
      </c>
      <c r="G55" s="80">
        <f>'EIA Form 923'!T2475</f>
        <v>70995</v>
      </c>
      <c r="I55" s="80">
        <f>F55*'GWPs &amp; Fuel EFs'!$N20</f>
        <v>8149849.713962283</v>
      </c>
      <c r="K55" s="80">
        <f>G55*'GWPs &amp; Fuel EFs'!$M48</f>
        <v>500.85498530208002</v>
      </c>
      <c r="L55" s="80">
        <f>K55*'GWPs &amp; Fuel EFs'!$D$11</f>
        <v>12521.374632552001</v>
      </c>
      <c r="N55" s="80">
        <f>G55*'GWPs &amp; Fuel EFs'!$M76</f>
        <v>98.605825231346998</v>
      </c>
      <c r="O55" s="80">
        <f>N55*'GWPs &amp; Fuel EFs'!$E$11</f>
        <v>29384.535918941405</v>
      </c>
    </row>
    <row r="56" spans="1:15">
      <c r="A56" s="71"/>
      <c r="B56" s="73"/>
      <c r="D56" s="732" t="s">
        <v>391</v>
      </c>
      <c r="E56" s="82" t="s">
        <v>16</v>
      </c>
      <c r="F56" s="80"/>
      <c r="G56" s="80"/>
      <c r="I56" s="733">
        <f>'EPA Part 75 &amp; GHGRP'!F439</f>
        <v>2379100202.0052538</v>
      </c>
      <c r="K56" s="80"/>
      <c r="L56" s="733"/>
      <c r="N56" s="80"/>
      <c r="O56" s="733"/>
    </row>
    <row r="57" spans="1:15">
      <c r="A57" s="71"/>
      <c r="B57" s="71"/>
      <c r="D57" s="81" t="s">
        <v>387</v>
      </c>
      <c r="E57" s="82" t="s">
        <v>154</v>
      </c>
      <c r="F57" s="80">
        <f>'EIA Form 923'!T2477-'EIA Form 923'!W2477</f>
        <v>0</v>
      </c>
      <c r="G57" s="80">
        <f>'EIA Form 923'!T2477</f>
        <v>0</v>
      </c>
      <c r="I57" s="80">
        <f>F57*'GWPs &amp; Fuel EFs'!$N22</f>
        <v>0</v>
      </c>
      <c r="K57" s="80">
        <f>G57*'GWPs &amp; Fuel EFs'!$M50</f>
        <v>0</v>
      </c>
      <c r="L57" s="80">
        <f>K57*'GWPs &amp; Fuel EFs'!$D$11</f>
        <v>0</v>
      </c>
      <c r="N57" s="80">
        <f>G57*'GWPs &amp; Fuel EFs'!$M78</f>
        <v>0</v>
      </c>
      <c r="O57" s="80">
        <f>N57*'GWPs &amp; Fuel EFs'!$E$11</f>
        <v>0</v>
      </c>
    </row>
    <row r="58" spans="1:15">
      <c r="A58" s="71"/>
      <c r="B58" s="71"/>
      <c r="D58" s="81" t="s">
        <v>396</v>
      </c>
      <c r="E58" s="82" t="s">
        <v>69</v>
      </c>
      <c r="F58" s="80">
        <f>'EIA Form 923'!T2478-'EIA Form 923'!W2478</f>
        <v>3367631</v>
      </c>
      <c r="G58" s="80">
        <f>'EIA Form 923'!T2478</f>
        <v>3367631</v>
      </c>
      <c r="I58" s="80">
        <f>F58*'GWPs &amp; Fuel EFs'!$N23</f>
        <v>696404543.87515998</v>
      </c>
      <c r="K58" s="80">
        <f>G58*'GWPs &amp; Fuel EFs'!$M51</f>
        <v>53455.359444575181</v>
      </c>
      <c r="L58" s="80">
        <f>K58*'GWPs &amp; Fuel EFs'!$D$11</f>
        <v>1336383.9861143795</v>
      </c>
      <c r="N58" s="80">
        <f>G58*'GWPs &amp; Fuel EFs'!$M79</f>
        <v>26727.67972228759</v>
      </c>
      <c r="O58" s="80">
        <f>N58*'GWPs &amp; Fuel EFs'!$E$11</f>
        <v>7964848.5572417015</v>
      </c>
    </row>
    <row r="59" spans="1:15">
      <c r="A59" s="71"/>
      <c r="B59" s="71"/>
      <c r="D59" s="81" t="s">
        <v>389</v>
      </c>
      <c r="E59" s="82" t="s">
        <v>155</v>
      </c>
      <c r="F59" s="80">
        <f>'EIA Form 923'!T2479-'EIA Form 923'!W2479</f>
        <v>0</v>
      </c>
      <c r="G59" s="80">
        <f>'EIA Form 923'!T2479</f>
        <v>0</v>
      </c>
      <c r="I59" s="80">
        <f>F59*'GWPs &amp; Fuel EFs'!$N24</f>
        <v>0</v>
      </c>
      <c r="K59" s="80">
        <f>G59*'GWPs &amp; Fuel EFs'!$M52</f>
        <v>0</v>
      </c>
      <c r="L59" s="80">
        <f>K59*'GWPs &amp; Fuel EFs'!$D$11</f>
        <v>0</v>
      </c>
      <c r="N59" s="80">
        <f>G59*'GWPs &amp; Fuel EFs'!$M80</f>
        <v>0</v>
      </c>
      <c r="O59" s="80">
        <f>N59*'GWPs &amp; Fuel EFs'!$E$11</f>
        <v>0</v>
      </c>
    </row>
    <row r="60" spans="1:15">
      <c r="A60" s="71"/>
      <c r="B60" s="71"/>
      <c r="D60" s="81" t="s">
        <v>437</v>
      </c>
      <c r="E60" s="82" t="s">
        <v>419</v>
      </c>
      <c r="F60" s="80">
        <f>'EIA Form 923'!T2480-'EIA Form 923'!W2480</f>
        <v>0</v>
      </c>
      <c r="G60" s="80">
        <f>'EIA Form 923'!T2480</f>
        <v>0</v>
      </c>
      <c r="I60" s="80">
        <f>F60*'GWPs &amp; Fuel EFs'!$N25</f>
        <v>0</v>
      </c>
      <c r="K60" s="80">
        <f>G60*'GWPs &amp; Fuel EFs'!$M53</f>
        <v>0</v>
      </c>
      <c r="L60" s="80">
        <f>K60*'GWPs &amp; Fuel EFs'!$D$11</f>
        <v>0</v>
      </c>
      <c r="N60" s="80">
        <f>G60*'GWPs &amp; Fuel EFs'!$M81</f>
        <v>0</v>
      </c>
      <c r="O60" s="80">
        <f>N60*'GWPs &amp; Fuel EFs'!$E$11</f>
        <v>0</v>
      </c>
    </row>
    <row r="61" spans="1:15">
      <c r="A61" s="71"/>
      <c r="B61" s="71"/>
      <c r="D61" s="81" t="s">
        <v>2508</v>
      </c>
      <c r="E61" s="82" t="s">
        <v>424</v>
      </c>
      <c r="F61" s="80">
        <f>'EIA Form 923'!T2481-'EIA Form 923'!W2481</f>
        <v>6151</v>
      </c>
      <c r="G61" s="80">
        <f>'EIA Form 923'!T2481</f>
        <v>6151</v>
      </c>
      <c r="I61" s="80">
        <f>F61*'GWPs &amp; Fuel EFs'!$N26</f>
        <v>1227130.7699436292</v>
      </c>
      <c r="K61" s="80">
        <f>G61*'GWPs &amp; Fuel EFs'!$M54</f>
        <v>38.629510071677728</v>
      </c>
      <c r="L61" s="80">
        <f>K61*'GWPs &amp; Fuel EFs'!$D$11</f>
        <v>965.7377517919432</v>
      </c>
      <c r="N61" s="80">
        <f>G61*'GWPs &amp; Fuel EFs'!$M82</f>
        <v>25.753006714451818</v>
      </c>
      <c r="O61" s="80">
        <f>N61*'GWPs &amp; Fuel EFs'!$E$11</f>
        <v>7674.3960009066413</v>
      </c>
    </row>
    <row r="62" spans="1:15" ht="13">
      <c r="A62" s="71"/>
      <c r="B62" s="71"/>
      <c r="C62" s="40"/>
      <c r="D62" s="81" t="s">
        <v>436</v>
      </c>
      <c r="E62" s="82" t="s">
        <v>68</v>
      </c>
      <c r="F62" s="80">
        <f>'EIA Form 923'!T2482-'EIA Form 923'!W2482</f>
        <v>0</v>
      </c>
      <c r="G62" s="80">
        <f>'EIA Form 923'!T2482</f>
        <v>0</v>
      </c>
      <c r="I62" s="80">
        <f>F62*'GWPs &amp; Fuel EFs'!$N27</f>
        <v>0</v>
      </c>
      <c r="K62" s="80">
        <f>G62*'GWPs &amp; Fuel EFs'!$M55</f>
        <v>0</v>
      </c>
      <c r="L62" s="80">
        <f>K62*'GWPs &amp; Fuel EFs'!$D$11</f>
        <v>0</v>
      </c>
      <c r="N62" s="80">
        <f>G62*'GWPs &amp; Fuel EFs'!$M83</f>
        <v>0</v>
      </c>
      <c r="O62" s="80">
        <f>N62*'GWPs &amp; Fuel EFs'!$E$11</f>
        <v>0</v>
      </c>
    </row>
    <row r="63" spans="1:15">
      <c r="A63" s="71"/>
      <c r="B63" s="72"/>
      <c r="F63" s="80"/>
      <c r="G63" s="80"/>
      <c r="I63" s="83">
        <f>SUM(I55:I62)</f>
        <v>3084881726.3643193</v>
      </c>
      <c r="L63" s="83">
        <f>SUM(L55:L62)</f>
        <v>1349871.0984987235</v>
      </c>
      <c r="O63" s="83">
        <f>SUM(O55:O62)</f>
        <v>8001907.4891615501</v>
      </c>
    </row>
    <row r="64" spans="1:15">
      <c r="A64" s="71"/>
      <c r="B64" s="71"/>
    </row>
    <row r="65" spans="1:15">
      <c r="A65" s="13"/>
      <c r="B65" s="13"/>
      <c r="D65" s="84"/>
      <c r="E65" s="84"/>
      <c r="F65" s="84"/>
      <c r="G65" s="84"/>
      <c r="I65" s="84"/>
      <c r="K65" s="84"/>
      <c r="L65" s="85"/>
      <c r="N65" s="84"/>
      <c r="O65" s="84"/>
    </row>
    <row r="66" spans="1:15" ht="13">
      <c r="A66" s="790" t="s">
        <v>1556</v>
      </c>
      <c r="B66" s="790"/>
      <c r="D66" s="791" t="s">
        <v>222</v>
      </c>
      <c r="E66" s="791"/>
      <c r="F66" s="791"/>
      <c r="G66" s="791"/>
      <c r="I66" s="77" t="s">
        <v>222</v>
      </c>
      <c r="K66" s="791" t="s">
        <v>222</v>
      </c>
      <c r="L66" s="791"/>
      <c r="N66" s="791" t="s">
        <v>222</v>
      </c>
      <c r="O66" s="791"/>
    </row>
    <row r="67" spans="1:15" ht="13">
      <c r="A67" s="790">
        <f>A7</f>
        <v>2021</v>
      </c>
      <c r="B67" s="790"/>
      <c r="D67" s="791" t="s">
        <v>207</v>
      </c>
      <c r="E67" s="791"/>
      <c r="F67" s="791"/>
      <c r="G67" s="791"/>
      <c r="I67" s="77" t="s">
        <v>208</v>
      </c>
      <c r="K67" s="791" t="s">
        <v>209</v>
      </c>
      <c r="L67" s="791"/>
      <c r="N67" s="791" t="s">
        <v>210</v>
      </c>
      <c r="O67" s="791"/>
    </row>
    <row r="68" spans="1:15" s="12" customFormat="1" ht="35.5">
      <c r="A68" s="67"/>
      <c r="B68" s="68" t="s">
        <v>333</v>
      </c>
      <c r="D68" s="79" t="s">
        <v>211</v>
      </c>
      <c r="E68" s="79" t="s">
        <v>212</v>
      </c>
      <c r="F68" s="79" t="s">
        <v>2515</v>
      </c>
      <c r="G68" s="79" t="s">
        <v>2516</v>
      </c>
      <c r="H68" s="28"/>
      <c r="I68" s="66" t="s">
        <v>331</v>
      </c>
      <c r="J68" s="78"/>
      <c r="K68" s="66" t="s">
        <v>332</v>
      </c>
      <c r="L68" s="66" t="s">
        <v>333</v>
      </c>
      <c r="M68" s="78"/>
      <c r="N68" s="66" t="s">
        <v>334</v>
      </c>
      <c r="O68" s="66" t="s">
        <v>333</v>
      </c>
    </row>
    <row r="69" spans="1:15" ht="27.75" customHeight="1">
      <c r="A69" s="69" t="s">
        <v>214</v>
      </c>
      <c r="B69" s="70">
        <f>SUM(B70:B75)</f>
        <v>2719151880.5455503</v>
      </c>
      <c r="D69" s="66" t="s">
        <v>215</v>
      </c>
      <c r="E69" s="78"/>
      <c r="F69" s="79" t="s">
        <v>2517</v>
      </c>
      <c r="G69" s="79" t="s">
        <v>2518</v>
      </c>
      <c r="K69" s="78"/>
      <c r="L69" s="78"/>
      <c r="N69" s="78"/>
      <c r="O69" s="78"/>
    </row>
    <row r="70" spans="1:15">
      <c r="A70" s="71" t="s">
        <v>2519</v>
      </c>
      <c r="B70" s="72">
        <f>I83</f>
        <v>339117357.91252762</v>
      </c>
      <c r="D70" s="81" t="s">
        <v>392</v>
      </c>
      <c r="E70" s="82" t="s">
        <v>43</v>
      </c>
      <c r="F70" s="80">
        <f>'EIA Form 923'!T2486-'EIA Form 923'!W2486</f>
        <v>284935</v>
      </c>
      <c r="G70" s="80">
        <f>'EIA Form 923'!T2486</f>
        <v>284935</v>
      </c>
      <c r="I70" s="80">
        <f>F70*'GWPs &amp; Fuel EFs'!$N5</f>
        <v>58570887.788027994</v>
      </c>
      <c r="K70" s="80">
        <f>G70*'GWPs &amp; Fuel EFs'!$M33</f>
        <v>6909.9156085266995</v>
      </c>
      <c r="L70" s="80">
        <f>K70*'GWPs &amp; Fuel EFs'!$D$11</f>
        <v>172747.8902131675</v>
      </c>
      <c r="N70" s="80">
        <f>G70*'GWPs &amp; Fuel EFs'!$M61</f>
        <v>1005.07863396752</v>
      </c>
      <c r="O70" s="80">
        <f>N70*'GWPs &amp; Fuel EFs'!$E$11</f>
        <v>299513.43292232096</v>
      </c>
    </row>
    <row r="71" spans="1:15">
      <c r="A71" s="71" t="s">
        <v>2520</v>
      </c>
      <c r="B71" s="73">
        <f>'EPA Part 75 &amp; GHGRP'!I422*2000</f>
        <v>2331376870</v>
      </c>
      <c r="D71" s="81" t="s">
        <v>393</v>
      </c>
      <c r="E71" s="82" t="s">
        <v>48</v>
      </c>
      <c r="F71" s="80">
        <f>'EIA Form 923'!T2487-'EIA Form 923'!W2487</f>
        <v>0</v>
      </c>
      <c r="G71" s="80">
        <f>'EIA Form 923'!T2487</f>
        <v>0</v>
      </c>
      <c r="I71" s="80">
        <f>F71*'GWPs &amp; Fuel EFs'!$N6</f>
        <v>0</v>
      </c>
      <c r="K71" s="80">
        <f>G71*'GWPs &amp; Fuel EFs'!$M34</f>
        <v>0</v>
      </c>
      <c r="L71" s="80">
        <f>K71*'GWPs &amp; Fuel EFs'!$D$11</f>
        <v>0</v>
      </c>
      <c r="N71" s="80">
        <f>G71*'GWPs &amp; Fuel EFs'!$M62</f>
        <v>0</v>
      </c>
      <c r="O71" s="80">
        <f>N71*'GWPs &amp; Fuel EFs'!$E$11</f>
        <v>0</v>
      </c>
    </row>
    <row r="72" spans="1:15">
      <c r="A72" s="71" t="s">
        <v>216</v>
      </c>
      <c r="B72" s="72">
        <f>L83</f>
        <v>3562564.5836621211</v>
      </c>
      <c r="D72" s="81" t="s">
        <v>381</v>
      </c>
      <c r="E72" s="82" t="s">
        <v>46</v>
      </c>
      <c r="F72" s="80">
        <f>'EIA Form 923'!T2488-'EIA Form 923'!W2488</f>
        <v>5085</v>
      </c>
      <c r="G72" s="80">
        <f>'EIA Form 923'!T2488</f>
        <v>27329</v>
      </c>
      <c r="I72" s="80">
        <f>F72*'GWPs &amp; Fuel EFs'!$N7</f>
        <v>831145.92877799983</v>
      </c>
      <c r="K72" s="80">
        <f>G72*'GWPs &amp; Fuel EFs'!$M35</f>
        <v>180.75039474593999</v>
      </c>
      <c r="L72" s="80">
        <f>K72*'GWPs &amp; Fuel EFs'!$D$11</f>
        <v>4518.7598686484998</v>
      </c>
      <c r="N72" s="80">
        <f>G72*'GWPs &amp; Fuel EFs'!$M63</f>
        <v>36.150078949187993</v>
      </c>
      <c r="O72" s="80">
        <f>N72*'GWPs &amp; Fuel EFs'!$E$11</f>
        <v>10772.723526858023</v>
      </c>
    </row>
    <row r="73" spans="1:15">
      <c r="A73" s="71" t="s">
        <v>217</v>
      </c>
      <c r="B73" s="72">
        <f>O83</f>
        <v>5267476.0112564443</v>
      </c>
      <c r="D73" s="81" t="s">
        <v>380</v>
      </c>
      <c r="E73" s="82" t="s">
        <v>39</v>
      </c>
      <c r="F73" s="80">
        <f>'EIA Form 923'!T2489-'EIA Form 923'!W2489</f>
        <v>11416</v>
      </c>
      <c r="G73" s="80">
        <f>'EIA Form 923'!T2489</f>
        <v>20094638</v>
      </c>
      <c r="I73" s="80">
        <f>F73*'GWPs &amp; Fuel EFs'!$N8</f>
        <v>1331635.8069871997</v>
      </c>
      <c r="K73" s="80">
        <f>G73*'GWPs &amp; Fuel EFs'!$M36</f>
        <v>44301.09347551156</v>
      </c>
      <c r="L73" s="80">
        <f>K73*'GWPs &amp; Fuel EFs'!$D$11</f>
        <v>1107527.336887789</v>
      </c>
      <c r="N73" s="80">
        <f>G73*'GWPs &amp; Fuel EFs'!$M64</f>
        <v>4430.1093475511561</v>
      </c>
      <c r="O73" s="80">
        <f>N73*'GWPs &amp; Fuel EFs'!$E$11</f>
        <v>1320172.5855702446</v>
      </c>
    </row>
    <row r="74" spans="1:15">
      <c r="A74" s="71" t="s">
        <v>218</v>
      </c>
      <c r="B74" s="72">
        <f>L93</f>
        <v>6509457.5763602033</v>
      </c>
      <c r="D74" s="81" t="s">
        <v>394</v>
      </c>
      <c r="E74" s="82" t="s">
        <v>17</v>
      </c>
      <c r="F74" s="80">
        <f>'EIA Form 923'!T2490-'EIA Form 923'!W2490</f>
        <v>1005020</v>
      </c>
      <c r="G74" s="80">
        <f>'EIA Form 923'!T2490</f>
        <v>1005020</v>
      </c>
      <c r="I74" s="80">
        <f>F74*'GWPs &amp; Fuel EFs'!$N9</f>
        <v>203646689.36331183</v>
      </c>
      <c r="K74" s="80">
        <f>G74*'GWPs &amp; Fuel EFs'!$M37</f>
        <v>66623.78059868433</v>
      </c>
      <c r="L74" s="80">
        <f>K74*'GWPs &amp; Fuel EFs'!$D$11</f>
        <v>1665594.5149671081</v>
      </c>
      <c r="N74" s="80">
        <f>G74*'GWPs &amp; Fuel EFs'!$M65</f>
        <v>8883.1707464912488</v>
      </c>
      <c r="O74" s="80">
        <f>N74*'GWPs &amp; Fuel EFs'!$E$11</f>
        <v>2647184.882454392</v>
      </c>
    </row>
    <row r="75" spans="1:15">
      <c r="A75" s="71" t="s">
        <v>219</v>
      </c>
      <c r="B75" s="72">
        <f>O93</f>
        <v>33318154.461744197</v>
      </c>
      <c r="D75" s="81" t="s">
        <v>395</v>
      </c>
      <c r="E75" s="82" t="s">
        <v>82</v>
      </c>
      <c r="F75" s="80">
        <f>'EIA Form 923'!T2491-'EIA Form 923'!W2491</f>
        <v>0</v>
      </c>
      <c r="G75" s="80">
        <f>'EIA Form 923'!T2491</f>
        <v>0</v>
      </c>
      <c r="I75" s="80">
        <f>F75*'GWPs &amp; Fuel EFs'!$N10</f>
        <v>0</v>
      </c>
      <c r="K75" s="80">
        <f>G75*'GWPs &amp; Fuel EFs'!$M38</f>
        <v>0</v>
      </c>
      <c r="L75" s="80">
        <f>K75*'GWPs &amp; Fuel EFs'!$D$11</f>
        <v>0</v>
      </c>
      <c r="N75" s="80">
        <f>G75*'GWPs &amp; Fuel EFs'!$M66</f>
        <v>0</v>
      </c>
      <c r="O75" s="80">
        <f>N75*'GWPs &amp; Fuel EFs'!$E$11</f>
        <v>0</v>
      </c>
    </row>
    <row r="76" spans="1:15">
      <c r="A76" s="71"/>
      <c r="B76" s="71"/>
      <c r="D76" s="81" t="s">
        <v>390</v>
      </c>
      <c r="E76" s="82" t="s">
        <v>402</v>
      </c>
      <c r="F76" s="80">
        <f>'EIA Form 923'!T2492-'EIA Form 923'!W2492</f>
        <v>324818</v>
      </c>
      <c r="G76" s="80">
        <f>'EIA Form 923'!T2492</f>
        <v>324818</v>
      </c>
      <c r="I76" s="80">
        <f>F76*'GWPs &amp; Fuel EFs'!$N11</f>
        <v>61563139.279985197</v>
      </c>
      <c r="K76" s="80">
        <f>G76*'GWPs &amp; Fuel EFs'!$M39</f>
        <v>22915.235525861121</v>
      </c>
      <c r="L76" s="80">
        <f>K76*'GWPs &amp; Fuel EFs'!$D$11</f>
        <v>572880.88814652804</v>
      </c>
      <c r="N76" s="80">
        <f>G76*'GWPs &amp; Fuel EFs'!$M67</f>
        <v>3007.6246627692713</v>
      </c>
      <c r="O76" s="80">
        <f>N76*'GWPs &amp; Fuel EFs'!$E$11</f>
        <v>896272.14950524282</v>
      </c>
    </row>
    <row r="77" spans="1:15">
      <c r="A77" s="71"/>
      <c r="B77" s="71"/>
      <c r="D77" s="81" t="s">
        <v>383</v>
      </c>
      <c r="E77" s="82" t="s">
        <v>65</v>
      </c>
      <c r="F77" s="80">
        <f>'EIA Form 923'!T2493-'EIA Form 923'!W2493</f>
        <v>0</v>
      </c>
      <c r="G77" s="80">
        <f>'EIA Form 923'!T2493</f>
        <v>0</v>
      </c>
      <c r="I77" s="80">
        <f>F77*'GWPs &amp; Fuel EFs'!$N12</f>
        <v>0</v>
      </c>
      <c r="K77" s="80">
        <f>G77*'GWPs &amp; Fuel EFs'!$M40</f>
        <v>0</v>
      </c>
      <c r="L77" s="80">
        <f>K77*'GWPs &amp; Fuel EFs'!$D$11</f>
        <v>0</v>
      </c>
      <c r="N77" s="80">
        <f>G77*'GWPs &amp; Fuel EFs'!$M68</f>
        <v>0</v>
      </c>
      <c r="O77" s="80">
        <f>N77*'GWPs &amp; Fuel EFs'!$E$11</f>
        <v>0</v>
      </c>
    </row>
    <row r="78" spans="1:15">
      <c r="A78" s="71"/>
      <c r="B78" s="71"/>
      <c r="D78" s="81" t="s">
        <v>382</v>
      </c>
      <c r="E78" s="82" t="s">
        <v>61</v>
      </c>
      <c r="F78" s="80">
        <f>'EIA Form 923'!T2494-'EIA Form 923'!W2494</f>
        <v>78052</v>
      </c>
      <c r="G78" s="80">
        <f>'EIA Form 923'!T2494</f>
        <v>237047</v>
      </c>
      <c r="I78" s="80">
        <f>F78*'GWPs &amp; Fuel EFs'!$N13</f>
        <v>12921684.777772397</v>
      </c>
      <c r="K78" s="80">
        <f>G78*'GWPs &amp; Fuel EFs'!$M41</f>
        <v>1567.7975346094199</v>
      </c>
      <c r="L78" s="80">
        <f>K78*'GWPs &amp; Fuel EFs'!$D$11</f>
        <v>39194.938365235495</v>
      </c>
      <c r="N78" s="80">
        <f>G78*'GWPs &amp; Fuel EFs'!$M69</f>
        <v>313.55950692188395</v>
      </c>
      <c r="O78" s="80">
        <f>N78*'GWPs &amp; Fuel EFs'!$E$11</f>
        <v>93440.733062721411</v>
      </c>
    </row>
    <row r="79" spans="1:15">
      <c r="A79" s="71"/>
      <c r="B79" s="71"/>
      <c r="D79" s="81" t="s">
        <v>384</v>
      </c>
      <c r="E79" s="82" t="s">
        <v>66</v>
      </c>
      <c r="F79" s="80">
        <f>'EIA Form 923'!T2495-'EIA Form 923'!W2495</f>
        <v>0</v>
      </c>
      <c r="G79" s="80">
        <f>'EIA Form 923'!T2495</f>
        <v>0</v>
      </c>
      <c r="I79" s="80">
        <f>F79*'GWPs &amp; Fuel EFs'!$N14</f>
        <v>0</v>
      </c>
      <c r="K79" s="80">
        <f>G79*'GWPs &amp; Fuel EFs'!$M42</f>
        <v>0</v>
      </c>
      <c r="L79" s="80">
        <f>K79*'GWPs &amp; Fuel EFs'!$D$11</f>
        <v>0</v>
      </c>
      <c r="N79" s="80">
        <f>G79*'GWPs &amp; Fuel EFs'!$M70</f>
        <v>0</v>
      </c>
      <c r="O79" s="80">
        <f>N79*'GWPs &amp; Fuel EFs'!$E$11</f>
        <v>0</v>
      </c>
    </row>
    <row r="80" spans="1:15">
      <c r="A80" s="71"/>
      <c r="B80" s="71"/>
      <c r="D80" s="81" t="s">
        <v>385</v>
      </c>
      <c r="E80" s="82" t="s">
        <v>76</v>
      </c>
      <c r="F80" s="80">
        <f>'EIA Form 923'!T2496-'EIA Form 923'!W2496</f>
        <v>0</v>
      </c>
      <c r="G80" s="80">
        <f>'EIA Form 923'!T2496</f>
        <v>0</v>
      </c>
      <c r="I80" s="80">
        <f>F80*'GWPs &amp; Fuel EFs'!$N15</f>
        <v>0</v>
      </c>
      <c r="K80" s="80">
        <f>G80*'GWPs &amp; Fuel EFs'!$M43</f>
        <v>0</v>
      </c>
      <c r="L80" s="80">
        <f>K80*'GWPs &amp; Fuel EFs'!$D$11</f>
        <v>0</v>
      </c>
      <c r="N80" s="80">
        <f>G80*'GWPs &amp; Fuel EFs'!$M71</f>
        <v>0</v>
      </c>
      <c r="O80" s="80">
        <f>N80*'GWPs &amp; Fuel EFs'!$E$11</f>
        <v>0</v>
      </c>
    </row>
    <row r="81" spans="1:15">
      <c r="A81" s="71"/>
      <c r="B81" s="71"/>
      <c r="D81" s="81" t="s">
        <v>386</v>
      </c>
      <c r="E81" s="82" t="s">
        <v>73</v>
      </c>
      <c r="F81" s="80">
        <f>'EIA Form 923'!T2497-'EIA Form 923'!W2497</f>
        <v>0</v>
      </c>
      <c r="G81" s="80">
        <f>'EIA Form 923'!T2497</f>
        <v>0</v>
      </c>
      <c r="I81" s="80">
        <f>F81*'GWPs &amp; Fuel EFs'!$N16</f>
        <v>0</v>
      </c>
      <c r="K81" s="80">
        <f>G81*'GWPs &amp; Fuel EFs'!$M44</f>
        <v>0</v>
      </c>
      <c r="L81" s="80">
        <f>K81*'GWPs &amp; Fuel EFs'!$D$11</f>
        <v>0</v>
      </c>
      <c r="N81" s="80">
        <f>G81*'GWPs &amp; Fuel EFs'!$M72</f>
        <v>0</v>
      </c>
      <c r="O81" s="80">
        <f>N81*'GWPs &amp; Fuel EFs'!$E$11</f>
        <v>0</v>
      </c>
    </row>
    <row r="82" spans="1:15">
      <c r="A82" s="71"/>
      <c r="B82" s="71"/>
      <c r="D82" s="81" t="s">
        <v>435</v>
      </c>
      <c r="E82" s="82" t="s">
        <v>426</v>
      </c>
      <c r="F82" s="80">
        <f>'EIA Form 923'!T2498-'EIA Form 923'!W2498</f>
        <v>1819</v>
      </c>
      <c r="G82" s="80">
        <f>'EIA Form 923'!T2498</f>
        <v>1819</v>
      </c>
      <c r="I82" s="80">
        <f>F82*'GWPs &amp; Fuel EFs'!$N17</f>
        <v>252174.96766498737</v>
      </c>
      <c r="K82" s="80">
        <f>G82*'GWPs &amp; Fuel EFs'!$M45</f>
        <v>4.0102085457800003</v>
      </c>
      <c r="L82" s="80">
        <f>K82*'GWPs &amp; Fuel EFs'!$D$11</f>
        <v>100.2552136445</v>
      </c>
      <c r="N82" s="80">
        <f>G82*'GWPs &amp; Fuel EFs'!$M73</f>
        <v>0.40102085457800002</v>
      </c>
      <c r="O82" s="80">
        <f>N82*'GWPs &amp; Fuel EFs'!$E$11</f>
        <v>119.504214664244</v>
      </c>
    </row>
    <row r="83" spans="1:15">
      <c r="A83" s="71"/>
      <c r="B83" s="71"/>
      <c r="D83" s="81"/>
      <c r="F83" s="80"/>
      <c r="G83" s="80"/>
      <c r="I83" s="83">
        <f>SUM(I70:I82)</f>
        <v>339117357.91252762</v>
      </c>
      <c r="K83" s="80"/>
      <c r="L83" s="83">
        <f>SUM(L70:L82)</f>
        <v>3562564.5836621211</v>
      </c>
      <c r="N83" s="80"/>
      <c r="O83" s="83">
        <f>SUM(O70:O82)</f>
        <v>5267476.0112564443</v>
      </c>
    </row>
    <row r="84" spans="1:15" ht="13">
      <c r="A84" s="74" t="s">
        <v>220</v>
      </c>
      <c r="B84" s="70">
        <f>I93</f>
        <v>3023630238.6073103</v>
      </c>
      <c r="D84" s="66" t="s">
        <v>221</v>
      </c>
      <c r="F84" s="80"/>
      <c r="G84" s="80"/>
      <c r="I84" s="83"/>
      <c r="K84" s="80"/>
      <c r="L84" s="83"/>
      <c r="N84" s="80"/>
      <c r="O84" s="83"/>
    </row>
    <row r="85" spans="1:15">
      <c r="A85" s="71"/>
      <c r="B85" s="71"/>
      <c r="D85" s="81" t="s">
        <v>388</v>
      </c>
      <c r="E85" s="82" t="s">
        <v>63</v>
      </c>
      <c r="F85" s="80">
        <f>'EIA Form 923'!T2500-'EIA Form 923'!W2500</f>
        <v>204870</v>
      </c>
      <c r="G85" s="80">
        <f>'EIA Form 923'!T2500</f>
        <v>204870</v>
      </c>
      <c r="I85" s="80">
        <f>F85*'GWPs &amp; Fuel EFs'!$N20</f>
        <v>23517990.152819958</v>
      </c>
      <c r="K85" s="80">
        <f>G85*'GWPs &amp; Fuel EFs'!$M48</f>
        <v>1445.3153157100801</v>
      </c>
      <c r="L85" s="80">
        <f>K85*'GWPs &amp; Fuel EFs'!$D$11</f>
        <v>36132.882892752001</v>
      </c>
      <c r="N85" s="80">
        <f>G85*'GWPs &amp; Fuel EFs'!$M76</f>
        <v>284.54645278042199</v>
      </c>
      <c r="O85" s="80">
        <f>N85*'GWPs &amp; Fuel EFs'!$E$11</f>
        <v>84794.842928565748</v>
      </c>
    </row>
    <row r="86" spans="1:15">
      <c r="A86" s="71"/>
      <c r="B86" s="73"/>
      <c r="D86" s="81" t="s">
        <v>391</v>
      </c>
      <c r="E86" s="82" t="s">
        <v>16</v>
      </c>
      <c r="F86" s="80">
        <f>'EIA Form 923'!T2501-'EIA Form 923'!W2501</f>
        <v>822290</v>
      </c>
      <c r="G86" s="80">
        <f>'EIA Form 923'!T2501</f>
        <v>822290</v>
      </c>
      <c r="I86" s="80">
        <f>F86*'GWPs &amp; Fuel EFs'!$N21</f>
        <v>172138188.02817905</v>
      </c>
      <c r="K86" s="80">
        <f>G86*'GWPs &amp; Fuel EFs'!$M49</f>
        <v>51641.456408453712</v>
      </c>
      <c r="L86" s="80">
        <f>K86*'GWPs &amp; Fuel EFs'!$D$11</f>
        <v>1291036.4102113429</v>
      </c>
      <c r="N86" s="80">
        <f>G86*'GWPs &amp; Fuel EFs'!$M77</f>
        <v>6885.5275211271619</v>
      </c>
      <c r="O86" s="80">
        <f>N86*'GWPs &amp; Fuel EFs'!$E$11</f>
        <v>2051887.2012958943</v>
      </c>
    </row>
    <row r="87" spans="1:15">
      <c r="A87" s="71"/>
      <c r="B87" s="71"/>
      <c r="D87" s="81" t="s">
        <v>387</v>
      </c>
      <c r="E87" s="82" t="s">
        <v>154</v>
      </c>
      <c r="F87" s="80">
        <f>'EIA Form 923'!T2502-'EIA Form 923'!W2502</f>
        <v>1107454</v>
      </c>
      <c r="G87" s="80">
        <f>'EIA Form 923'!T2502</f>
        <v>1107454</v>
      </c>
      <c r="I87" s="80">
        <f>F87*'GWPs &amp; Fuel EFs'!$N22</f>
        <v>220938201.86915165</v>
      </c>
      <c r="K87" s="80">
        <f>G87*'GWPs &amp; Fuel EFs'!$M50</f>
        <v>6955.0325876962743</v>
      </c>
      <c r="L87" s="80">
        <f>K87*'GWPs &amp; Fuel EFs'!$D$11</f>
        <v>173875.81469240686</v>
      </c>
      <c r="N87" s="80">
        <f>G87*'GWPs &amp; Fuel EFs'!$M78</f>
        <v>4636.6883917975165</v>
      </c>
      <c r="O87" s="80">
        <f>N87*'GWPs &amp; Fuel EFs'!$E$11</f>
        <v>1381733.1407556599</v>
      </c>
    </row>
    <row r="88" spans="1:15">
      <c r="A88" s="71"/>
      <c r="B88" s="71"/>
      <c r="D88" s="81" t="s">
        <v>396</v>
      </c>
      <c r="E88" s="82" t="s">
        <v>69</v>
      </c>
      <c r="F88" s="80">
        <f>'EIA Form 923'!T2503-'EIA Form 923'!W2503</f>
        <v>12588968</v>
      </c>
      <c r="G88" s="80">
        <f>'EIA Form 923'!T2503</f>
        <v>12588968</v>
      </c>
      <c r="I88" s="80">
        <f>F88*'GWPs &amp; Fuel EFs'!$N23</f>
        <v>2603318035.1110277</v>
      </c>
      <c r="K88" s="80">
        <f>G88*'GWPs &amp; Fuel EFs'!$M51</f>
        <v>199828.25002984435</v>
      </c>
      <c r="L88" s="80">
        <f>K88*'GWPs &amp; Fuel EFs'!$D$11</f>
        <v>4995706.2507461086</v>
      </c>
      <c r="N88" s="80">
        <f>G88*'GWPs &amp; Fuel EFs'!$M79</f>
        <v>99914.125014922174</v>
      </c>
      <c r="O88" s="80">
        <f>N88*'GWPs &amp; Fuel EFs'!$E$11</f>
        <v>29774409.254446808</v>
      </c>
    </row>
    <row r="89" spans="1:15">
      <c r="A89" s="71"/>
      <c r="B89" s="71"/>
      <c r="D89" s="81" t="s">
        <v>389</v>
      </c>
      <c r="E89" s="82" t="s">
        <v>155</v>
      </c>
      <c r="F89" s="80">
        <f>'EIA Form 923'!T2504-'EIA Form 923'!W2504</f>
        <v>20767</v>
      </c>
      <c r="G89" s="80">
        <f>'EIA Form 923'!T2504</f>
        <v>20767</v>
      </c>
      <c r="I89" s="80">
        <f>F89*'GWPs &amp; Fuel EFs'!$N24</f>
        <v>3717823.4461314827</v>
      </c>
      <c r="K89" s="80">
        <f>G89*'GWPs &amp; Fuel EFs'!$M52</f>
        <v>508.24871270375024</v>
      </c>
      <c r="L89" s="80">
        <f>K89*'GWPs &amp; Fuel EFs'!$D$11</f>
        <v>12706.217817593755</v>
      </c>
      <c r="N89" s="80">
        <f>G89*'GWPs &amp; Fuel EFs'!$M80</f>
        <v>85.000074890165848</v>
      </c>
      <c r="O89" s="80">
        <f>N89*'GWPs &amp; Fuel EFs'!$E$11</f>
        <v>25330.022317269424</v>
      </c>
    </row>
    <row r="90" spans="1:15">
      <c r="A90" s="71"/>
      <c r="B90" s="71"/>
      <c r="D90" s="81" t="s">
        <v>437</v>
      </c>
      <c r="E90" s="82" t="s">
        <v>419</v>
      </c>
      <c r="F90" s="80">
        <f>'EIA Form 923'!T2505-'EIA Form 923'!W2505</f>
        <v>0</v>
      </c>
      <c r="G90" s="80">
        <f>'EIA Form 923'!T2505</f>
        <v>0</v>
      </c>
      <c r="I90" s="80">
        <f>F90*'GWPs &amp; Fuel EFs'!$N25</f>
        <v>0</v>
      </c>
      <c r="K90" s="80">
        <f>G90*'GWPs &amp; Fuel EFs'!$M53</f>
        <v>0</v>
      </c>
      <c r="L90" s="80">
        <f>K90*'GWPs &amp; Fuel EFs'!$D$11</f>
        <v>0</v>
      </c>
      <c r="N90" s="80">
        <f>G90*'GWPs &amp; Fuel EFs'!$M81</f>
        <v>0</v>
      </c>
      <c r="O90" s="80">
        <f>N90*'GWPs &amp; Fuel EFs'!$E$11</f>
        <v>0</v>
      </c>
    </row>
    <row r="91" spans="1:15">
      <c r="A91" s="71"/>
      <c r="B91" s="71"/>
      <c r="D91" s="81" t="s">
        <v>2508</v>
      </c>
      <c r="E91" s="82" t="s">
        <v>424</v>
      </c>
      <c r="F91" s="80">
        <f>'EIA Form 923'!T2506-'EIA Form 923'!W2506</f>
        <v>0</v>
      </c>
      <c r="G91" s="80">
        <f>'EIA Form 923'!T2506</f>
        <v>0</v>
      </c>
      <c r="I91" s="80">
        <f>F91*'GWPs &amp; Fuel EFs'!$N26</f>
        <v>0</v>
      </c>
      <c r="K91" s="80">
        <f>G91*'GWPs &amp; Fuel EFs'!$M54</f>
        <v>0</v>
      </c>
      <c r="L91" s="80">
        <f>K91*'GWPs &amp; Fuel EFs'!$D$11</f>
        <v>0</v>
      </c>
      <c r="N91" s="80">
        <f>G91*'GWPs &amp; Fuel EFs'!$M82</f>
        <v>0</v>
      </c>
      <c r="O91" s="80">
        <f>N91*'GWPs &amp; Fuel EFs'!$E$11</f>
        <v>0</v>
      </c>
    </row>
    <row r="92" spans="1:15">
      <c r="A92" s="71"/>
      <c r="B92" s="71"/>
      <c r="D92" s="81" t="s">
        <v>436</v>
      </c>
      <c r="E92" s="82" t="s">
        <v>68</v>
      </c>
      <c r="F92" s="80">
        <f>'EIA Form 923'!T2507-'EIA Form 923'!W2507</f>
        <v>0</v>
      </c>
      <c r="G92" s="80">
        <f>'EIA Form 923'!T2507</f>
        <v>0</v>
      </c>
      <c r="I92" s="80">
        <f>F92*'GWPs &amp; Fuel EFs'!$N27</f>
        <v>0</v>
      </c>
      <c r="K92" s="80">
        <f>G92*'GWPs &amp; Fuel EFs'!$M55</f>
        <v>0</v>
      </c>
      <c r="L92" s="80">
        <f>K92*'GWPs &amp; Fuel EFs'!$D$11</f>
        <v>0</v>
      </c>
      <c r="N92" s="80">
        <f>G92*'GWPs &amp; Fuel EFs'!$M83</f>
        <v>0</v>
      </c>
      <c r="O92" s="80">
        <f>N92*'GWPs &amp; Fuel EFs'!$E$11</f>
        <v>0</v>
      </c>
    </row>
    <row r="93" spans="1:15">
      <c r="A93" s="75"/>
      <c r="B93" s="76"/>
      <c r="F93" s="80"/>
      <c r="G93" s="80"/>
      <c r="I93" s="83">
        <f>SUM(I85:I92)</f>
        <v>3023630238.6073103</v>
      </c>
      <c r="L93" s="83">
        <f>SUM(L85:L92)</f>
        <v>6509457.5763602033</v>
      </c>
      <c r="O93" s="83">
        <f>SUM(O85:O92)</f>
        <v>33318154.461744197</v>
      </c>
    </row>
    <row r="94" spans="1:15">
      <c r="A94" s="71"/>
      <c r="B94" s="72"/>
    </row>
    <row r="95" spans="1:15">
      <c r="A95" s="13"/>
      <c r="B95" s="13"/>
      <c r="D95" s="84"/>
      <c r="E95" s="84"/>
      <c r="F95" s="84"/>
      <c r="G95" s="84"/>
      <c r="I95" s="84"/>
      <c r="K95" s="84"/>
      <c r="L95" s="84"/>
      <c r="N95" s="84"/>
      <c r="O95" s="84"/>
    </row>
    <row r="96" spans="1:15" ht="13">
      <c r="A96" s="790" t="s">
        <v>1557</v>
      </c>
      <c r="B96" s="790"/>
      <c r="D96" s="791" t="s">
        <v>223</v>
      </c>
      <c r="E96" s="791"/>
      <c r="F96" s="791"/>
      <c r="G96" s="791"/>
      <c r="I96" s="77" t="s">
        <v>223</v>
      </c>
      <c r="K96" s="791" t="s">
        <v>223</v>
      </c>
      <c r="L96" s="791"/>
      <c r="N96" s="791" t="s">
        <v>223</v>
      </c>
      <c r="O96" s="791"/>
    </row>
    <row r="97" spans="1:15" ht="13">
      <c r="A97" s="790">
        <f>A7</f>
        <v>2021</v>
      </c>
      <c r="B97" s="790"/>
      <c r="D97" s="791" t="s">
        <v>207</v>
      </c>
      <c r="E97" s="791"/>
      <c r="F97" s="791"/>
      <c r="G97" s="791"/>
      <c r="I97" s="77" t="s">
        <v>208</v>
      </c>
      <c r="K97" s="791" t="s">
        <v>209</v>
      </c>
      <c r="L97" s="791"/>
      <c r="N97" s="791" t="s">
        <v>210</v>
      </c>
      <c r="O97" s="791"/>
    </row>
    <row r="98" spans="1:15" s="12" customFormat="1" ht="35.5">
      <c r="A98" s="67"/>
      <c r="B98" s="68" t="s">
        <v>333</v>
      </c>
      <c r="D98" s="79" t="s">
        <v>211</v>
      </c>
      <c r="E98" s="79" t="s">
        <v>212</v>
      </c>
      <c r="F98" s="79" t="s">
        <v>2515</v>
      </c>
      <c r="G98" s="79" t="s">
        <v>2516</v>
      </c>
      <c r="H98" s="28"/>
      <c r="I98" s="66" t="s">
        <v>331</v>
      </c>
      <c r="J98" s="78"/>
      <c r="K98" s="66" t="s">
        <v>332</v>
      </c>
      <c r="L98" s="66" t="s">
        <v>333</v>
      </c>
      <c r="M98" s="78"/>
      <c r="N98" s="66" t="s">
        <v>334</v>
      </c>
      <c r="O98" s="66" t="s">
        <v>333</v>
      </c>
    </row>
    <row r="99" spans="1:15" ht="27.75" customHeight="1">
      <c r="A99" s="69" t="s">
        <v>214</v>
      </c>
      <c r="B99" s="70">
        <f>SUM(B100:B105)</f>
        <v>4854876760.3990622</v>
      </c>
      <c r="D99" s="66" t="s">
        <v>215</v>
      </c>
      <c r="E99" s="66"/>
      <c r="F99" s="79" t="s">
        <v>2517</v>
      </c>
      <c r="G99" s="79" t="s">
        <v>2518</v>
      </c>
      <c r="K99" s="78"/>
      <c r="L99" s="78"/>
      <c r="N99" s="78"/>
      <c r="O99" s="78"/>
    </row>
    <row r="100" spans="1:15">
      <c r="A100" s="71" t="s">
        <v>2519</v>
      </c>
      <c r="B100" s="72">
        <f>I113</f>
        <v>223039889.29241794</v>
      </c>
      <c r="D100" s="81" t="s">
        <v>392</v>
      </c>
      <c r="E100" s="82" t="s">
        <v>43</v>
      </c>
      <c r="F100" s="80">
        <f>'EIA Form 923'!T2511-'EIA Form 923'!W2511</f>
        <v>0</v>
      </c>
      <c r="G100" s="80">
        <f>'EIA Form 923'!T2511</f>
        <v>3258577</v>
      </c>
      <c r="I100" s="80">
        <f>F100*'GWPs &amp; Fuel EFs'!$N5</f>
        <v>0</v>
      </c>
      <c r="K100" s="80">
        <f>G100*'GWPs &amp; Fuel EFs'!$M33</f>
        <v>79023.258195329123</v>
      </c>
      <c r="L100" s="80">
        <f>K100*'GWPs &amp; Fuel EFs'!$D$11</f>
        <v>1975581.4548832281</v>
      </c>
      <c r="N100" s="80">
        <f>G100*'GWPs &amp; Fuel EFs'!$M61</f>
        <v>11494.292101138784</v>
      </c>
      <c r="O100" s="80">
        <f>N100*'GWPs &amp; Fuel EFs'!$E$11</f>
        <v>3425299.0461393576</v>
      </c>
    </row>
    <row r="101" spans="1:15">
      <c r="A101" s="71" t="s">
        <v>2520</v>
      </c>
      <c r="B101" s="73">
        <f>'EPA Part 75 &amp; GHGRP'!I423*2000</f>
        <v>4582713540</v>
      </c>
      <c r="D101" s="81" t="s">
        <v>393</v>
      </c>
      <c r="E101" s="82" t="s">
        <v>48</v>
      </c>
      <c r="F101" s="80">
        <f>'EIA Form 923'!T2512-'EIA Form 923'!W2512</f>
        <v>0</v>
      </c>
      <c r="G101" s="80">
        <f>'EIA Form 923'!T2512</f>
        <v>0</v>
      </c>
      <c r="I101" s="80">
        <f>F101*'GWPs &amp; Fuel EFs'!$N6</f>
        <v>0</v>
      </c>
      <c r="K101" s="80">
        <f>G101*'GWPs &amp; Fuel EFs'!$M34</f>
        <v>0</v>
      </c>
      <c r="L101" s="80">
        <f>K101*'GWPs &amp; Fuel EFs'!$D$11</f>
        <v>0</v>
      </c>
      <c r="N101" s="80">
        <f>G101*'GWPs &amp; Fuel EFs'!$M62</f>
        <v>0</v>
      </c>
      <c r="O101" s="80">
        <f>N101*'GWPs &amp; Fuel EFs'!$E$11</f>
        <v>0</v>
      </c>
    </row>
    <row r="102" spans="1:15">
      <c r="A102" s="71" t="s">
        <v>216</v>
      </c>
      <c r="B102" s="72">
        <f>L113</f>
        <v>5680369.1984756356</v>
      </c>
      <c r="D102" s="81" t="s">
        <v>381</v>
      </c>
      <c r="E102" s="82" t="s">
        <v>46</v>
      </c>
      <c r="F102" s="80">
        <f>'EIA Form 923'!T2513-'EIA Form 923'!W2513</f>
        <v>7989</v>
      </c>
      <c r="G102" s="80">
        <f>'EIA Form 923'!T2513</f>
        <v>339524</v>
      </c>
      <c r="I102" s="80">
        <f>F102*'GWPs &amp; Fuel EFs'!$N7</f>
        <v>1305806.2586051999</v>
      </c>
      <c r="K102" s="80">
        <f>G102*'GWPs &amp; Fuel EFs'!$M35</f>
        <v>2245.5668712986399</v>
      </c>
      <c r="L102" s="80">
        <f>K102*'GWPs &amp; Fuel EFs'!$D$11</f>
        <v>56139.171782465994</v>
      </c>
      <c r="N102" s="80">
        <f>G102*'GWPs &amp; Fuel EFs'!$M63</f>
        <v>449.11337425972795</v>
      </c>
      <c r="O102" s="80">
        <f>N102*'GWPs &amp; Fuel EFs'!$E$11</f>
        <v>133835.78552939894</v>
      </c>
    </row>
    <row r="103" spans="1:15">
      <c r="A103" s="71" t="s">
        <v>217</v>
      </c>
      <c r="B103" s="72">
        <f>O113</f>
        <v>8660607.0595675912</v>
      </c>
      <c r="D103" s="81" t="s">
        <v>380</v>
      </c>
      <c r="E103" s="82" t="s">
        <v>39</v>
      </c>
      <c r="F103" s="80">
        <f>'EIA Form 923'!T2514-'EIA Form 923'!W2514</f>
        <v>0</v>
      </c>
      <c r="G103" s="80">
        <f>'EIA Form 923'!T2514</f>
        <v>33120120</v>
      </c>
      <c r="I103" s="80">
        <f>F103*'GWPs &amp; Fuel EFs'!$N8</f>
        <v>0</v>
      </c>
      <c r="K103" s="80">
        <f>G103*'GWPs &amp; Fuel EFs'!$M36</f>
        <v>73017.365729114405</v>
      </c>
      <c r="L103" s="80">
        <f>K103*'GWPs &amp; Fuel EFs'!$D$11</f>
        <v>1825434.1432278601</v>
      </c>
      <c r="N103" s="80">
        <f>G103*'GWPs &amp; Fuel EFs'!$M64</f>
        <v>7301.7365729114399</v>
      </c>
      <c r="O103" s="80">
        <f>N103*'GWPs &amp; Fuel EFs'!$E$11</f>
        <v>2175917.4987276089</v>
      </c>
    </row>
    <row r="104" spans="1:15">
      <c r="A104" s="71" t="s">
        <v>218</v>
      </c>
      <c r="B104" s="72">
        <f>L123</f>
        <v>5953542.6401224583</v>
      </c>
      <c r="D104" s="81" t="s">
        <v>394</v>
      </c>
      <c r="E104" s="82" t="s">
        <v>17</v>
      </c>
      <c r="F104" s="80">
        <f>'EIA Form 923'!T2515-'EIA Form 923'!W2515</f>
        <v>1078974</v>
      </c>
      <c r="G104" s="80">
        <f>'EIA Form 923'!T2515</f>
        <v>1078974</v>
      </c>
      <c r="I104" s="80">
        <f>F104*'GWPs &amp; Fuel EFs'!$N9</f>
        <v>218631950.61699271</v>
      </c>
      <c r="K104" s="80">
        <f>G104*'GWPs &amp; Fuel EFs'!$M37</f>
        <v>71526.265196398905</v>
      </c>
      <c r="L104" s="80">
        <f>K104*'GWPs &amp; Fuel EFs'!$D$11</f>
        <v>1788156.6299099727</v>
      </c>
      <c r="N104" s="80">
        <f>G104*'GWPs &amp; Fuel EFs'!$M65</f>
        <v>9536.8353595198587</v>
      </c>
      <c r="O104" s="80">
        <f>N104*'GWPs &amp; Fuel EFs'!$E$11</f>
        <v>2841976.9371369178</v>
      </c>
    </row>
    <row r="105" spans="1:15">
      <c r="A105" s="71" t="s">
        <v>219</v>
      </c>
      <c r="B105" s="72">
        <f>O123</f>
        <v>28828812.208479371</v>
      </c>
      <c r="D105" s="81" t="s">
        <v>395</v>
      </c>
      <c r="E105" s="82" t="s">
        <v>82</v>
      </c>
      <c r="F105" s="80">
        <f>'EIA Form 923'!T2516-'EIA Form 923'!W2516</f>
        <v>0</v>
      </c>
      <c r="G105" s="80">
        <f>'EIA Form 923'!T2516</f>
        <v>0</v>
      </c>
      <c r="I105" s="80">
        <f>F105*'GWPs &amp; Fuel EFs'!$N10</f>
        <v>0</v>
      </c>
      <c r="K105" s="80">
        <f>G105*'GWPs &amp; Fuel EFs'!$M38</f>
        <v>0</v>
      </c>
      <c r="L105" s="80">
        <f>K105*'GWPs &amp; Fuel EFs'!$D$11</f>
        <v>0</v>
      </c>
      <c r="N105" s="80">
        <f>G105*'GWPs &amp; Fuel EFs'!$M66</f>
        <v>0</v>
      </c>
      <c r="O105" s="80">
        <f>N105*'GWPs &amp; Fuel EFs'!$E$11</f>
        <v>0</v>
      </c>
    </row>
    <row r="106" spans="1:15">
      <c r="A106" s="71"/>
      <c r="B106" s="71"/>
      <c r="D106" s="81" t="s">
        <v>390</v>
      </c>
      <c r="E106" s="82" t="s">
        <v>402</v>
      </c>
      <c r="F106" s="80">
        <f>'EIA Form 923'!T2517-'EIA Form 923'!W2517</f>
        <v>0</v>
      </c>
      <c r="G106" s="80">
        <f>'EIA Form 923'!T2517</f>
        <v>0</v>
      </c>
      <c r="I106" s="80">
        <f>F106*'GWPs &amp; Fuel EFs'!$N11</f>
        <v>0</v>
      </c>
      <c r="K106" s="80">
        <f>G106*'GWPs &amp; Fuel EFs'!$M39</f>
        <v>0</v>
      </c>
      <c r="L106" s="80">
        <f>K106*'GWPs &amp; Fuel EFs'!$D$11</f>
        <v>0</v>
      </c>
      <c r="N106" s="80">
        <f>G106*'GWPs &amp; Fuel EFs'!$M67</f>
        <v>0</v>
      </c>
      <c r="O106" s="80">
        <f>N106*'GWPs &amp; Fuel EFs'!$E$11</f>
        <v>0</v>
      </c>
    </row>
    <row r="107" spans="1:15">
      <c r="A107" s="71"/>
      <c r="B107" s="71"/>
      <c r="D107" s="81" t="s">
        <v>383</v>
      </c>
      <c r="E107" s="82" t="s">
        <v>65</v>
      </c>
      <c r="F107" s="80">
        <f>'EIA Form 923'!T2518-'EIA Form 923'!W2518</f>
        <v>0</v>
      </c>
      <c r="G107" s="80">
        <f>'EIA Form 923'!T2518</f>
        <v>0</v>
      </c>
      <c r="I107" s="80">
        <f>F107*'GWPs &amp; Fuel EFs'!$N12</f>
        <v>0</v>
      </c>
      <c r="K107" s="80">
        <f>G107*'GWPs &amp; Fuel EFs'!$M40</f>
        <v>0</v>
      </c>
      <c r="L107" s="80">
        <f>K107*'GWPs &amp; Fuel EFs'!$D$11</f>
        <v>0</v>
      </c>
      <c r="N107" s="80">
        <f>G107*'GWPs &amp; Fuel EFs'!$M68</f>
        <v>0</v>
      </c>
      <c r="O107" s="80">
        <f>N107*'GWPs &amp; Fuel EFs'!$E$11</f>
        <v>0</v>
      </c>
    </row>
    <row r="108" spans="1:15">
      <c r="A108" s="71"/>
      <c r="B108" s="71"/>
      <c r="D108" s="81" t="s">
        <v>382</v>
      </c>
      <c r="E108" s="82" t="s">
        <v>61</v>
      </c>
      <c r="F108" s="80">
        <f>'EIA Form 923'!T2519-'EIA Form 923'!W2519</f>
        <v>0</v>
      </c>
      <c r="G108" s="80">
        <f>'EIA Form 923'!T2519</f>
        <v>174750</v>
      </c>
      <c r="I108" s="80">
        <f>F108*'GWPs &amp; Fuel EFs'!$N13</f>
        <v>0</v>
      </c>
      <c r="K108" s="80">
        <f>G108*'GWPs &amp; Fuel EFs'!$M41</f>
        <v>1155.773408535</v>
      </c>
      <c r="L108" s="80">
        <f>K108*'GWPs &amp; Fuel EFs'!$D$11</f>
        <v>28894.335213375001</v>
      </c>
      <c r="N108" s="80">
        <f>G108*'GWPs &amp; Fuel EFs'!$M69</f>
        <v>231.15468170699998</v>
      </c>
      <c r="O108" s="80">
        <f>N108*'GWPs &amp; Fuel EFs'!$E$11</f>
        <v>68884.095148685999</v>
      </c>
    </row>
    <row r="109" spans="1:15">
      <c r="A109" s="71"/>
      <c r="B109" s="71"/>
      <c r="D109" s="81" t="s">
        <v>384</v>
      </c>
      <c r="E109" s="82" t="s">
        <v>66</v>
      </c>
      <c r="F109" s="80">
        <f>'EIA Form 923'!T2520-'EIA Form 923'!W2520</f>
        <v>19480</v>
      </c>
      <c r="G109" s="80">
        <f>'EIA Form 923'!T2520</f>
        <v>37276</v>
      </c>
      <c r="I109" s="80">
        <f>F109*'GWPs &amp; Fuel EFs'!$N14</f>
        <v>3102132.4168200074</v>
      </c>
      <c r="K109" s="80">
        <f>G109*'GWPs &amp; Fuel EFs'!$M42</f>
        <v>246.53853834935998</v>
      </c>
      <c r="L109" s="80">
        <f>K109*'GWPs &amp; Fuel EFs'!$D$11</f>
        <v>6163.4634587339997</v>
      </c>
      <c r="N109" s="80">
        <f>G109*'GWPs &amp; Fuel EFs'!$M70</f>
        <v>49.307707669871995</v>
      </c>
      <c r="O109" s="80">
        <f>N109*'GWPs &amp; Fuel EFs'!$E$11</f>
        <v>14693.696885621854</v>
      </c>
    </row>
    <row r="110" spans="1:15">
      <c r="A110" s="71"/>
      <c r="B110" s="71"/>
      <c r="D110" s="81" t="s">
        <v>385</v>
      </c>
      <c r="E110" s="82" t="s">
        <v>76</v>
      </c>
      <c r="F110" s="80">
        <f>'EIA Form 923'!T2521-'EIA Form 923'!W2521</f>
        <v>0</v>
      </c>
      <c r="G110" s="80">
        <f>'EIA Form 923'!T2521</f>
        <v>0</v>
      </c>
      <c r="I110" s="80">
        <f>F110*'GWPs &amp; Fuel EFs'!$N15</f>
        <v>0</v>
      </c>
      <c r="K110" s="80">
        <f>G110*'GWPs &amp; Fuel EFs'!$M43</f>
        <v>0</v>
      </c>
      <c r="L110" s="80">
        <f>K110*'GWPs &amp; Fuel EFs'!$D$11</f>
        <v>0</v>
      </c>
      <c r="N110" s="80">
        <f>G110*'GWPs &amp; Fuel EFs'!$M71</f>
        <v>0</v>
      </c>
      <c r="O110" s="80">
        <f>N110*'GWPs &amp; Fuel EFs'!$E$11</f>
        <v>0</v>
      </c>
    </row>
    <row r="111" spans="1:15">
      <c r="A111" s="71"/>
      <c r="B111" s="71"/>
      <c r="D111" s="81" t="s">
        <v>386</v>
      </c>
      <c r="E111" s="82" t="s">
        <v>73</v>
      </c>
      <c r="F111" s="80">
        <f>'EIA Form 923'!T2522-'EIA Form 923'!W2522</f>
        <v>0</v>
      </c>
      <c r="G111" s="80">
        <f>'EIA Form 923'!T2522</f>
        <v>0</v>
      </c>
      <c r="I111" s="80">
        <f>F111*'GWPs &amp; Fuel EFs'!$N16</f>
        <v>0</v>
      </c>
      <c r="K111" s="80">
        <f>G111*'GWPs &amp; Fuel EFs'!$M44</f>
        <v>0</v>
      </c>
      <c r="L111" s="80">
        <f>K111*'GWPs &amp; Fuel EFs'!$D$11</f>
        <v>0</v>
      </c>
      <c r="N111" s="80">
        <f>G111*'GWPs &amp; Fuel EFs'!$M72</f>
        <v>0</v>
      </c>
      <c r="O111" s="80">
        <f>N111*'GWPs &amp; Fuel EFs'!$E$11</f>
        <v>0</v>
      </c>
    </row>
    <row r="112" spans="1:15">
      <c r="A112" s="71"/>
      <c r="B112" s="71"/>
      <c r="D112" s="81" t="s">
        <v>435</v>
      </c>
      <c r="E112" s="82" t="s">
        <v>426</v>
      </c>
      <c r="F112" s="80">
        <f>'EIA Form 923'!T2523-'EIA Form 923'!W2523</f>
        <v>0</v>
      </c>
      <c r="G112" s="80">
        <f>'EIA Form 923'!T2523</f>
        <v>0</v>
      </c>
      <c r="I112" s="80">
        <f>F112*'GWPs &amp; Fuel EFs'!$N17</f>
        <v>0</v>
      </c>
      <c r="K112" s="80">
        <f>G112*'GWPs &amp; Fuel EFs'!$M45</f>
        <v>0</v>
      </c>
      <c r="L112" s="80">
        <f>K112*'GWPs &amp; Fuel EFs'!$D$11</f>
        <v>0</v>
      </c>
      <c r="N112" s="80">
        <f>G112*'GWPs &amp; Fuel EFs'!$M73</f>
        <v>0</v>
      </c>
      <c r="O112" s="80">
        <f>N112*'GWPs &amp; Fuel EFs'!$E$11</f>
        <v>0</v>
      </c>
    </row>
    <row r="113" spans="1:15">
      <c r="A113" s="71"/>
      <c r="B113" s="71"/>
      <c r="D113" s="81"/>
      <c r="F113" s="80"/>
      <c r="G113" s="80"/>
      <c r="I113" s="83">
        <f>SUM(I100:I112)</f>
        <v>223039889.29241794</v>
      </c>
      <c r="K113" s="80"/>
      <c r="L113" s="83">
        <f>SUM(L100:L112)</f>
        <v>5680369.1984756356</v>
      </c>
      <c r="N113" s="80"/>
      <c r="O113" s="83">
        <f>SUM(O100:O112)</f>
        <v>8660607.0595675912</v>
      </c>
    </row>
    <row r="114" spans="1:15" ht="13">
      <c r="A114" s="74" t="s">
        <v>220</v>
      </c>
      <c r="B114" s="70">
        <f>I123</f>
        <v>2586400601.8561621</v>
      </c>
      <c r="D114" s="66" t="s">
        <v>221</v>
      </c>
      <c r="F114" s="80"/>
      <c r="G114" s="80"/>
      <c r="I114" s="83"/>
      <c r="K114" s="80"/>
      <c r="L114" s="83"/>
      <c r="N114" s="80"/>
      <c r="O114" s="83"/>
    </row>
    <row r="115" spans="1:15">
      <c r="A115" s="71"/>
      <c r="B115" s="71"/>
      <c r="D115" s="81" t="s">
        <v>388</v>
      </c>
      <c r="E115" s="82" t="s">
        <v>63</v>
      </c>
      <c r="F115" s="80">
        <f>'EIA Form 923'!T2525-'EIA Form 923'!W2525</f>
        <v>935853</v>
      </c>
      <c r="G115" s="80">
        <f>'EIA Form 923'!T2525</f>
        <v>935853</v>
      </c>
      <c r="I115" s="80">
        <f>F115*'GWPs &amp; Fuel EFs'!$N20</f>
        <v>107430964.21382836</v>
      </c>
      <c r="K115" s="80">
        <f>G115*'GWPs &amp; Fuel EFs'!$M48</f>
        <v>6602.2486169435524</v>
      </c>
      <c r="L115" s="80">
        <f>K115*'GWPs &amp; Fuel EFs'!$D$11</f>
        <v>165056.21542358882</v>
      </c>
      <c r="N115" s="80">
        <f>G115*'GWPs &amp; Fuel EFs'!$M76</f>
        <v>1299.8176964607617</v>
      </c>
      <c r="O115" s="80">
        <f>N115*'GWPs &amp; Fuel EFs'!$E$11</f>
        <v>387345.67354530696</v>
      </c>
    </row>
    <row r="116" spans="1:15">
      <c r="A116" s="71"/>
      <c r="B116" s="73"/>
      <c r="D116" s="81" t="s">
        <v>391</v>
      </c>
      <c r="E116" s="82" t="s">
        <v>16</v>
      </c>
      <c r="F116" s="80">
        <f>'EIA Form 923'!T2526-'EIA Form 923'!W2526</f>
        <v>882799</v>
      </c>
      <c r="G116" s="80">
        <f>'EIA Form 923'!T2526</f>
        <v>882799</v>
      </c>
      <c r="I116" s="80">
        <f>F116*'GWPs &amp; Fuel EFs'!$N21</f>
        <v>184805142.04610106</v>
      </c>
      <c r="K116" s="80">
        <f>G116*'GWPs &amp; Fuel EFs'!$M49</f>
        <v>55441.542613830316</v>
      </c>
      <c r="L116" s="80">
        <f>K116*'GWPs &amp; Fuel EFs'!$D$11</f>
        <v>1386038.5653457579</v>
      </c>
      <c r="N116" s="80">
        <f>G116*'GWPs &amp; Fuel EFs'!$M77</f>
        <v>7392.2056818440424</v>
      </c>
      <c r="O116" s="80">
        <f>N116*'GWPs &amp; Fuel EFs'!$E$11</f>
        <v>2202877.2931895247</v>
      </c>
    </row>
    <row r="117" spans="1:15">
      <c r="A117" s="71"/>
      <c r="B117" s="71"/>
      <c r="D117" s="81" t="s">
        <v>387</v>
      </c>
      <c r="E117" s="82" t="s">
        <v>154</v>
      </c>
      <c r="F117" s="80">
        <f>'EIA Form 923'!T2527-'EIA Form 923'!W2527</f>
        <v>0</v>
      </c>
      <c r="G117" s="80">
        <f>'EIA Form 923'!T2527</f>
        <v>0</v>
      </c>
      <c r="I117" s="80">
        <f>F117*'GWPs &amp; Fuel EFs'!$N22</f>
        <v>0</v>
      </c>
      <c r="K117" s="80">
        <f>G117*'GWPs &amp; Fuel EFs'!$M50</f>
        <v>0</v>
      </c>
      <c r="L117" s="80">
        <f>K117*'GWPs &amp; Fuel EFs'!$D$11</f>
        <v>0</v>
      </c>
      <c r="N117" s="80">
        <f>G117*'GWPs &amp; Fuel EFs'!$M78</f>
        <v>0</v>
      </c>
      <c r="O117" s="80">
        <f>N117*'GWPs &amp; Fuel EFs'!$E$11</f>
        <v>0</v>
      </c>
    </row>
    <row r="118" spans="1:15">
      <c r="A118" s="71"/>
      <c r="B118" s="71"/>
      <c r="D118" s="81" t="s">
        <v>396</v>
      </c>
      <c r="E118" s="82" t="s">
        <v>69</v>
      </c>
      <c r="F118" s="80">
        <f>'EIA Form 923'!T2528-'EIA Form 923'!W2528</f>
        <v>11093982</v>
      </c>
      <c r="G118" s="80">
        <f>'EIA Form 923'!T2528</f>
        <v>11093982</v>
      </c>
      <c r="H118" s="86"/>
      <c r="I118" s="80">
        <f>F118*'GWPs &amp; Fuel EFs'!$N23</f>
        <v>2294164495.5962324</v>
      </c>
      <c r="K118" s="80">
        <f>G118*'GWPs &amp; Fuel EFs'!$M51</f>
        <v>176097.91437412443</v>
      </c>
      <c r="L118" s="80">
        <f>K118*'GWPs &amp; Fuel EFs'!$D$11</f>
        <v>4402447.8593531111</v>
      </c>
      <c r="N118" s="80">
        <f>G118*'GWPs &amp; Fuel EFs'!$M79</f>
        <v>88048.957187062217</v>
      </c>
      <c r="O118" s="80">
        <f>N118*'GWPs &amp; Fuel EFs'!$E$11</f>
        <v>26238589.241744541</v>
      </c>
    </row>
    <row r="119" spans="1:15">
      <c r="A119" s="71"/>
      <c r="B119" s="71"/>
      <c r="D119" s="81" t="s">
        <v>389</v>
      </c>
      <c r="E119" s="82" t="s">
        <v>155</v>
      </c>
      <c r="F119" s="80">
        <f>'EIA Form 923'!T2529-'EIA Form 923'!W2529</f>
        <v>0</v>
      </c>
      <c r="G119" s="80">
        <f>'EIA Form 923'!T2529</f>
        <v>0</v>
      </c>
      <c r="I119" s="80">
        <f>F119*'GWPs &amp; Fuel EFs'!$N24</f>
        <v>0</v>
      </c>
      <c r="K119" s="80">
        <f>G119*'GWPs &amp; Fuel EFs'!$M52</f>
        <v>0</v>
      </c>
      <c r="L119" s="80">
        <f>K119*'GWPs &amp; Fuel EFs'!$D$11</f>
        <v>0</v>
      </c>
      <c r="N119" s="80">
        <f>G119*'GWPs &amp; Fuel EFs'!$M80</f>
        <v>0</v>
      </c>
      <c r="O119" s="80">
        <f>N119*'GWPs &amp; Fuel EFs'!$E$11</f>
        <v>0</v>
      </c>
    </row>
    <row r="120" spans="1:15">
      <c r="A120" s="71"/>
      <c r="B120" s="71"/>
      <c r="D120" s="81" t="s">
        <v>437</v>
      </c>
      <c r="E120" s="82" t="s">
        <v>419</v>
      </c>
      <c r="F120" s="80">
        <f>'EIA Form 923'!T2530-'EIA Form 923'!W2530</f>
        <v>0</v>
      </c>
      <c r="G120" s="80">
        <f>'EIA Form 923'!T2530</f>
        <v>0</v>
      </c>
      <c r="H120" s="86"/>
      <c r="I120" s="80">
        <f>F120*'GWPs &amp; Fuel EFs'!$N25</f>
        <v>0</v>
      </c>
      <c r="K120" s="80">
        <f>G120*'GWPs &amp; Fuel EFs'!$M53</f>
        <v>0</v>
      </c>
      <c r="L120" s="80">
        <f>K120*'GWPs &amp; Fuel EFs'!$D$11</f>
        <v>0</v>
      </c>
      <c r="N120" s="80">
        <f>G120*'GWPs &amp; Fuel EFs'!$M81</f>
        <v>0</v>
      </c>
      <c r="O120" s="80">
        <f>N120*'GWPs &amp; Fuel EFs'!$E$11</f>
        <v>0</v>
      </c>
    </row>
    <row r="121" spans="1:15">
      <c r="A121" s="71"/>
      <c r="B121" s="71"/>
      <c r="D121" s="81" t="s">
        <v>2508</v>
      </c>
      <c r="E121" s="82" t="s">
        <v>424</v>
      </c>
      <c r="F121" s="80">
        <f>'EIA Form 923'!T2531-'EIA Form 923'!W2531</f>
        <v>0</v>
      </c>
      <c r="G121" s="80">
        <f>'EIA Form 923'!T2531</f>
        <v>0</v>
      </c>
      <c r="H121" s="86"/>
      <c r="I121" s="80">
        <f>F121*'GWPs &amp; Fuel EFs'!$N26</f>
        <v>0</v>
      </c>
      <c r="K121" s="80">
        <f>G121*'GWPs &amp; Fuel EFs'!$M54</f>
        <v>0</v>
      </c>
      <c r="L121" s="80">
        <f>K121*'GWPs &amp; Fuel EFs'!$D$11</f>
        <v>0</v>
      </c>
      <c r="N121" s="80">
        <f>G121*'GWPs &amp; Fuel EFs'!$M82</f>
        <v>0</v>
      </c>
      <c r="O121" s="80">
        <f>N121*'GWPs &amp; Fuel EFs'!$E$11</f>
        <v>0</v>
      </c>
    </row>
    <row r="122" spans="1:15">
      <c r="A122" s="71"/>
      <c r="B122" s="71"/>
      <c r="D122" s="81" t="s">
        <v>436</v>
      </c>
      <c r="E122" s="82" t="s">
        <v>68</v>
      </c>
      <c r="F122" s="80">
        <f>'EIA Form 923'!T2532-'EIA Form 923'!W2532</f>
        <v>0</v>
      </c>
      <c r="G122" s="80">
        <f>'EIA Form 923'!T2532</f>
        <v>0</v>
      </c>
      <c r="H122" s="86"/>
      <c r="I122" s="80">
        <f>F122*'GWPs &amp; Fuel EFs'!$N27</f>
        <v>0</v>
      </c>
      <c r="K122" s="80">
        <f>G122*'GWPs &amp; Fuel EFs'!$M55</f>
        <v>0</v>
      </c>
      <c r="L122" s="80">
        <f>K122*'GWPs &amp; Fuel EFs'!$D$11</f>
        <v>0</v>
      </c>
      <c r="N122" s="80">
        <f>G122*'GWPs &amp; Fuel EFs'!$M83</f>
        <v>0</v>
      </c>
      <c r="O122" s="80">
        <f>N122*'GWPs &amp; Fuel EFs'!$E$11</f>
        <v>0</v>
      </c>
    </row>
    <row r="123" spans="1:15">
      <c r="A123" s="71"/>
      <c r="B123" s="76"/>
      <c r="F123" s="80"/>
      <c r="G123" s="80"/>
      <c r="H123" s="86"/>
      <c r="I123" s="83">
        <f>SUM(I115:I122)</f>
        <v>2586400601.8561621</v>
      </c>
      <c r="L123" s="83">
        <f>SUM(L115:L122)</f>
        <v>5953542.6401224583</v>
      </c>
      <c r="O123" s="83">
        <f>SUM(O115:O122)</f>
        <v>28828812.208479371</v>
      </c>
    </row>
    <row r="124" spans="1:15">
      <c r="A124" s="71"/>
      <c r="B124" s="71"/>
    </row>
    <row r="125" spans="1:15">
      <c r="A125" s="13"/>
      <c r="B125" s="13"/>
      <c r="D125" s="84"/>
      <c r="E125" s="84"/>
      <c r="F125" s="84"/>
      <c r="G125" s="84"/>
      <c r="I125" s="84"/>
      <c r="K125" s="84"/>
      <c r="L125" s="84"/>
      <c r="N125" s="84"/>
      <c r="O125" s="84"/>
    </row>
    <row r="126" spans="1:15" ht="13">
      <c r="A126" s="790" t="s">
        <v>1558</v>
      </c>
      <c r="B126" s="790"/>
      <c r="D126" s="791" t="s">
        <v>227</v>
      </c>
      <c r="E126" s="791"/>
      <c r="F126" s="791"/>
      <c r="G126" s="791"/>
      <c r="I126" s="77" t="s">
        <v>227</v>
      </c>
      <c r="K126" s="791" t="s">
        <v>227</v>
      </c>
      <c r="L126" s="791"/>
      <c r="N126" s="791" t="s">
        <v>227</v>
      </c>
      <c r="O126" s="791"/>
    </row>
    <row r="127" spans="1:15" ht="13">
      <c r="A127" s="790">
        <f>A7</f>
        <v>2021</v>
      </c>
      <c r="B127" s="790"/>
      <c r="D127" s="791" t="s">
        <v>207</v>
      </c>
      <c r="E127" s="791"/>
      <c r="F127" s="791"/>
      <c r="G127" s="791"/>
      <c r="I127" s="77" t="s">
        <v>208</v>
      </c>
      <c r="K127" s="791" t="s">
        <v>209</v>
      </c>
      <c r="L127" s="791"/>
      <c r="N127" s="791" t="s">
        <v>210</v>
      </c>
      <c r="O127" s="791"/>
    </row>
    <row r="128" spans="1:15" s="12" customFormat="1" ht="35.5">
      <c r="A128" s="67"/>
      <c r="B128" s="68" t="s">
        <v>333</v>
      </c>
      <c r="D128" s="79" t="s">
        <v>211</v>
      </c>
      <c r="E128" s="79" t="s">
        <v>212</v>
      </c>
      <c r="F128" s="79" t="s">
        <v>2515</v>
      </c>
      <c r="G128" s="79" t="s">
        <v>2516</v>
      </c>
      <c r="H128" s="28"/>
      <c r="I128" s="66" t="s">
        <v>331</v>
      </c>
      <c r="J128" s="78"/>
      <c r="K128" s="66" t="s">
        <v>332</v>
      </c>
      <c r="L128" s="66" t="s">
        <v>333</v>
      </c>
      <c r="M128" s="78"/>
      <c r="N128" s="66" t="s">
        <v>334</v>
      </c>
      <c r="O128" s="66" t="s">
        <v>333</v>
      </c>
    </row>
    <row r="129" spans="1:15" ht="26.25" customHeight="1">
      <c r="A129" s="69" t="s">
        <v>214</v>
      </c>
      <c r="B129" s="70">
        <f>SUM(B130:B135)</f>
        <v>59066446832.090042</v>
      </c>
      <c r="D129" s="66" t="s">
        <v>215</v>
      </c>
      <c r="E129" s="66"/>
      <c r="F129" s="79" t="s">
        <v>2517</v>
      </c>
      <c r="G129" s="79" t="s">
        <v>2518</v>
      </c>
      <c r="K129" s="78"/>
      <c r="L129" s="78"/>
      <c r="N129" s="78"/>
      <c r="O129" s="78"/>
    </row>
    <row r="130" spans="1:15">
      <c r="A130" s="71" t="s">
        <v>2519</v>
      </c>
      <c r="B130" s="72">
        <f>I143</f>
        <v>18749745118.568333</v>
      </c>
      <c r="D130" s="81" t="s">
        <v>392</v>
      </c>
      <c r="E130" s="82" t="s">
        <v>43</v>
      </c>
      <c r="F130" s="80">
        <f>'EIA Form 923'!T2536-'EIA Form 923'!W2536</f>
        <v>0</v>
      </c>
      <c r="G130" s="80">
        <f>'EIA Form 923'!T2536</f>
        <v>0</v>
      </c>
      <c r="I130" s="80">
        <f>F130*'GWPs &amp; Fuel EFs'!$N5</f>
        <v>0</v>
      </c>
      <c r="K130" s="80">
        <f>G130*'GWPs &amp; Fuel EFs'!$M33</f>
        <v>0</v>
      </c>
      <c r="L130" s="80">
        <f>K130*'GWPs &amp; Fuel EFs'!$D$11</f>
        <v>0</v>
      </c>
      <c r="N130" s="80">
        <f>G130*'GWPs &amp; Fuel EFs'!$M61</f>
        <v>0</v>
      </c>
      <c r="O130" s="80">
        <f>N130*'GWPs &amp; Fuel EFs'!$E$11</f>
        <v>0</v>
      </c>
    </row>
    <row r="131" spans="1:15">
      <c r="A131" s="71" t="s">
        <v>2520</v>
      </c>
      <c r="B131" s="73">
        <f>'EPA Part 75 &amp; GHGRP'!I424*2000</f>
        <v>40153975460.000008</v>
      </c>
      <c r="D131" s="81" t="s">
        <v>393</v>
      </c>
      <c r="E131" s="82" t="s">
        <v>48</v>
      </c>
      <c r="F131" s="80">
        <f>'EIA Form 923'!T2537-'EIA Form 923'!W2537</f>
        <v>0</v>
      </c>
      <c r="G131" s="80">
        <f>'EIA Form 923'!T2537</f>
        <v>0</v>
      </c>
      <c r="I131" s="80">
        <f>F131*'GWPs &amp; Fuel EFs'!$N6</f>
        <v>0</v>
      </c>
      <c r="K131" s="80">
        <f>G131*'GWPs &amp; Fuel EFs'!$M34</f>
        <v>0</v>
      </c>
      <c r="L131" s="80">
        <f>K131*'GWPs &amp; Fuel EFs'!$D$11</f>
        <v>0</v>
      </c>
      <c r="N131" s="80">
        <f>G131*'GWPs &amp; Fuel EFs'!$M62</f>
        <v>0</v>
      </c>
      <c r="O131" s="80">
        <f>N131*'GWPs &amp; Fuel EFs'!$E$11</f>
        <v>0</v>
      </c>
    </row>
    <row r="132" spans="1:15">
      <c r="A132" s="71" t="s">
        <v>216</v>
      </c>
      <c r="B132" s="72">
        <f>L143</f>
        <v>44197124.936902635</v>
      </c>
      <c r="D132" s="81" t="s">
        <v>381</v>
      </c>
      <c r="E132" s="82" t="s">
        <v>46</v>
      </c>
      <c r="F132" s="80">
        <f>'EIA Form 923'!T2538-'EIA Form 923'!W2538</f>
        <v>501456</v>
      </c>
      <c r="G132" s="80">
        <f>'EIA Form 923'!T2538</f>
        <v>1178440</v>
      </c>
      <c r="I132" s="80">
        <f>F132*'GWPs &amp; Fuel EFs'!$N7</f>
        <v>81963247.367020786</v>
      </c>
      <c r="K132" s="80">
        <f>G132*'GWPs &amp; Fuel EFs'!$M35</f>
        <v>7794.0464409383994</v>
      </c>
      <c r="L132" s="80">
        <f>K132*'GWPs &amp; Fuel EFs'!$D$11</f>
        <v>194851.16102345998</v>
      </c>
      <c r="N132" s="80">
        <f>G132*'GWPs &amp; Fuel EFs'!$M63</f>
        <v>1558.8092881876798</v>
      </c>
      <c r="O132" s="80">
        <f>N132*'GWPs &amp; Fuel EFs'!$E$11</f>
        <v>464525.1678799286</v>
      </c>
    </row>
    <row r="133" spans="1:15">
      <c r="A133" s="71" t="s">
        <v>217</v>
      </c>
      <c r="B133" s="72">
        <f>O143</f>
        <v>61658272.376729652</v>
      </c>
      <c r="D133" s="81" t="s">
        <v>380</v>
      </c>
      <c r="E133" s="82" t="s">
        <v>39</v>
      </c>
      <c r="F133" s="80">
        <f>'EIA Form 923'!T2539-'EIA Form 923'!W2539</f>
        <v>138533054</v>
      </c>
      <c r="G133" s="80">
        <f>'EIA Form 923'!T2539</f>
        <v>438484780</v>
      </c>
      <c r="I133" s="80">
        <f>F133*'GWPs &amp; Fuel EFs'!$N8</f>
        <v>16159388153.266584</v>
      </c>
      <c r="K133" s="80">
        <f>G133*'GWPs &amp; Fuel EFs'!$M36</f>
        <v>966693.46451372362</v>
      </c>
      <c r="L133" s="80">
        <f>K133*'GWPs &amp; Fuel EFs'!$D$11</f>
        <v>24167336.612843089</v>
      </c>
      <c r="N133" s="80">
        <f>G133*'GWPs &amp; Fuel EFs'!$M64</f>
        <v>96669.346451372359</v>
      </c>
      <c r="O133" s="80">
        <f>N133*'GWPs &amp; Fuel EFs'!$E$11</f>
        <v>28807465.242508963</v>
      </c>
    </row>
    <row r="134" spans="1:15">
      <c r="A134" s="71" t="s">
        <v>218</v>
      </c>
      <c r="B134" s="72">
        <f>L153</f>
        <v>17930962.92897629</v>
      </c>
      <c r="D134" s="81" t="s">
        <v>394</v>
      </c>
      <c r="E134" s="82" t="s">
        <v>17</v>
      </c>
      <c r="F134" s="80">
        <f>'EIA Form 923'!T2540-'EIA Form 923'!W2540</f>
        <v>11224073</v>
      </c>
      <c r="G134" s="80">
        <f>'EIA Form 923'!T2540</f>
        <v>11224073</v>
      </c>
      <c r="I134" s="80">
        <f>F134*'GWPs &amp; Fuel EFs'!$N9</f>
        <v>2274328180.1577439</v>
      </c>
      <c r="K134" s="80">
        <f>G134*'GWPs &amp; Fuel EFs'!$M37</f>
        <v>744055.02077134454</v>
      </c>
      <c r="L134" s="80">
        <f>K134*'GWPs &amp; Fuel EFs'!$D$11</f>
        <v>18601375.519283615</v>
      </c>
      <c r="N134" s="80">
        <f>G134*'GWPs &amp; Fuel EFs'!$M65</f>
        <v>99207.336102845977</v>
      </c>
      <c r="O134" s="80">
        <f>N134*'GWPs &amp; Fuel EFs'!$E$11</f>
        <v>29563786.1586481</v>
      </c>
    </row>
    <row r="135" spans="1:15">
      <c r="A135" s="71" t="s">
        <v>219</v>
      </c>
      <c r="B135" s="72">
        <f>O153</f>
        <v>38939893.279081628</v>
      </c>
      <c r="D135" s="81" t="s">
        <v>395</v>
      </c>
      <c r="E135" s="82" t="s">
        <v>82</v>
      </c>
      <c r="F135" s="80">
        <f>'EIA Form 923'!T2541-'EIA Form 923'!W2541</f>
        <v>0</v>
      </c>
      <c r="G135" s="80">
        <f>'EIA Form 923'!T2541</f>
        <v>0</v>
      </c>
      <c r="I135" s="80">
        <f>F135*'GWPs &amp; Fuel EFs'!$N10</f>
        <v>0</v>
      </c>
      <c r="K135" s="80">
        <f>G135*'GWPs &amp; Fuel EFs'!$M38</f>
        <v>0</v>
      </c>
      <c r="L135" s="80">
        <f>K135*'GWPs &amp; Fuel EFs'!$D$11</f>
        <v>0</v>
      </c>
      <c r="N135" s="80">
        <f>G135*'GWPs &amp; Fuel EFs'!$M66</f>
        <v>0</v>
      </c>
      <c r="O135" s="80">
        <f>N135*'GWPs &amp; Fuel EFs'!$E$11</f>
        <v>0</v>
      </c>
    </row>
    <row r="136" spans="1:15">
      <c r="A136" s="71"/>
      <c r="B136" s="71"/>
      <c r="D136" s="81" t="s">
        <v>390</v>
      </c>
      <c r="E136" s="82" t="s">
        <v>402</v>
      </c>
      <c r="F136" s="80">
        <f>'EIA Form 923'!T2542-'EIA Form 923'!W2542</f>
        <v>81402</v>
      </c>
      <c r="G136" s="80">
        <f>'EIA Form 923'!T2542</f>
        <v>81402</v>
      </c>
      <c r="I136" s="80">
        <f>F136*'GWPs &amp; Fuel EFs'!$N11</f>
        <v>15428217.228322798</v>
      </c>
      <c r="K136" s="80">
        <f>G136*'GWPs &amp; Fuel EFs'!$M39</f>
        <v>5742.7420964236799</v>
      </c>
      <c r="L136" s="80">
        <f>K136*'GWPs &amp; Fuel EFs'!$D$11</f>
        <v>143568.552410592</v>
      </c>
      <c r="N136" s="80">
        <f>G136*'GWPs &amp; Fuel EFs'!$M67</f>
        <v>753.73490015560787</v>
      </c>
      <c r="O136" s="80">
        <f>N136*'GWPs &amp; Fuel EFs'!$E$11</f>
        <v>224613.00024637114</v>
      </c>
    </row>
    <row r="137" spans="1:15">
      <c r="A137" s="71"/>
      <c r="B137" s="71"/>
      <c r="D137" s="81" t="s">
        <v>383</v>
      </c>
      <c r="E137" s="82" t="s">
        <v>65</v>
      </c>
      <c r="F137" s="80">
        <f>'EIA Form 923'!T2543-'EIA Form 923'!W2543</f>
        <v>0</v>
      </c>
      <c r="G137" s="80">
        <f>'EIA Form 923'!T2543</f>
        <v>0</v>
      </c>
      <c r="I137" s="80">
        <f>F137*'GWPs &amp; Fuel EFs'!$N12</f>
        <v>0</v>
      </c>
      <c r="K137" s="80">
        <f>G137*'GWPs &amp; Fuel EFs'!$M40</f>
        <v>0</v>
      </c>
      <c r="L137" s="80">
        <f>K137*'GWPs &amp; Fuel EFs'!$D$11</f>
        <v>0</v>
      </c>
      <c r="N137" s="80">
        <f>G137*'GWPs &amp; Fuel EFs'!$M68</f>
        <v>0</v>
      </c>
      <c r="O137" s="80">
        <f>N137*'GWPs &amp; Fuel EFs'!$E$11</f>
        <v>0</v>
      </c>
    </row>
    <row r="138" spans="1:15">
      <c r="A138" s="71"/>
      <c r="B138" s="71"/>
      <c r="D138" s="81" t="s">
        <v>382</v>
      </c>
      <c r="E138" s="82" t="s">
        <v>61</v>
      </c>
      <c r="F138" s="80">
        <f>'EIA Form 923'!T2544-'EIA Form 923'!W2544</f>
        <v>99037</v>
      </c>
      <c r="G138" s="80">
        <f>'EIA Form 923'!T2544</f>
        <v>5337220</v>
      </c>
      <c r="I138" s="80">
        <f>F138*'GWPs &amp; Fuel EFs'!$N13</f>
        <v>16395798.894791227</v>
      </c>
      <c r="K138" s="80">
        <f>G138*'GWPs &amp; Fuel EFs'!$M41</f>
        <v>35299.6678197492</v>
      </c>
      <c r="L138" s="80">
        <f>K138*'GWPs &amp; Fuel EFs'!$D$11</f>
        <v>882491.69549373002</v>
      </c>
      <c r="N138" s="80">
        <f>G138*'GWPs &amp; Fuel EFs'!$M69</f>
        <v>7059.9335639498395</v>
      </c>
      <c r="O138" s="80">
        <f>N138*'GWPs &amp; Fuel EFs'!$E$11</f>
        <v>2103860.2020570519</v>
      </c>
    </row>
    <row r="139" spans="1:15">
      <c r="A139" s="71"/>
      <c r="B139" s="71"/>
      <c r="D139" s="81" t="s">
        <v>384</v>
      </c>
      <c r="E139" s="82" t="s">
        <v>66</v>
      </c>
      <c r="F139" s="80">
        <f>'EIA Form 923'!T2545-'EIA Form 923'!W2545</f>
        <v>0</v>
      </c>
      <c r="G139" s="80">
        <f>'EIA Form 923'!T2545</f>
        <v>0</v>
      </c>
      <c r="I139" s="80">
        <f>F139*'GWPs &amp; Fuel EFs'!$N14</f>
        <v>0</v>
      </c>
      <c r="K139" s="80">
        <f>G139*'GWPs &amp; Fuel EFs'!$M42</f>
        <v>0</v>
      </c>
      <c r="L139" s="80">
        <f>K139*'GWPs &amp; Fuel EFs'!$D$11</f>
        <v>0</v>
      </c>
      <c r="N139" s="80">
        <f>G139*'GWPs &amp; Fuel EFs'!$M70</f>
        <v>0</v>
      </c>
      <c r="O139" s="80">
        <f>N139*'GWPs &amp; Fuel EFs'!$E$11</f>
        <v>0</v>
      </c>
    </row>
    <row r="140" spans="1:15">
      <c r="A140" s="71"/>
      <c r="B140" s="73"/>
      <c r="D140" s="81" t="s">
        <v>385</v>
      </c>
      <c r="E140" s="82" t="s">
        <v>76</v>
      </c>
      <c r="F140" s="80">
        <f>'EIA Form 923'!T2546-'EIA Form 923'!W2546</f>
        <v>32510</v>
      </c>
      <c r="G140" s="80">
        <f>'EIA Form 923'!T2546</f>
        <v>1251595</v>
      </c>
      <c r="I140" s="80">
        <f>F140*'GWPs &amp; Fuel EFs'!$N15</f>
        <v>5245448.6547426917</v>
      </c>
      <c r="K140" s="80">
        <f>G140*'GWPs &amp; Fuel EFs'!$M43</f>
        <v>8277.8839442367007</v>
      </c>
      <c r="L140" s="80">
        <f>K140*'GWPs &amp; Fuel EFs'!$D$11</f>
        <v>206947.0986059175</v>
      </c>
      <c r="N140" s="80">
        <f>G140*'GWPs &amp; Fuel EFs'!$M71</f>
        <v>1655.5767888473399</v>
      </c>
      <c r="O140" s="80">
        <f>N140*'GWPs &amp; Fuel EFs'!$E$11</f>
        <v>493361.88307650731</v>
      </c>
    </row>
    <row r="141" spans="1:15">
      <c r="A141" s="71"/>
      <c r="B141" s="71"/>
      <c r="D141" s="81" t="s">
        <v>386</v>
      </c>
      <c r="E141" s="82" t="s">
        <v>73</v>
      </c>
      <c r="F141" s="80">
        <f>'EIA Form 923'!T2547-'EIA Form 923'!W2547</f>
        <v>0</v>
      </c>
      <c r="G141" s="80">
        <f>'EIA Form 923'!T2547</f>
        <v>0</v>
      </c>
      <c r="I141" s="80">
        <f>F141*'GWPs &amp; Fuel EFs'!$N16</f>
        <v>0</v>
      </c>
      <c r="K141" s="80">
        <f>G141*'GWPs &amp; Fuel EFs'!$M44</f>
        <v>0</v>
      </c>
      <c r="L141" s="80">
        <f>K141*'GWPs &amp; Fuel EFs'!$D$11</f>
        <v>0</v>
      </c>
      <c r="N141" s="80">
        <f>G141*'GWPs &amp; Fuel EFs'!$M72</f>
        <v>0</v>
      </c>
      <c r="O141" s="80">
        <f>N141*'GWPs &amp; Fuel EFs'!$E$11</f>
        <v>0</v>
      </c>
    </row>
    <row r="142" spans="1:15">
      <c r="A142" s="71"/>
      <c r="B142" s="71"/>
      <c r="D142" s="81" t="s">
        <v>435</v>
      </c>
      <c r="E142" s="82" t="s">
        <v>426</v>
      </c>
      <c r="F142" s="80">
        <f>'EIA Form 923'!T2548-'EIA Form 923'!W2548</f>
        <v>10057</v>
      </c>
      <c r="G142" s="80">
        <f>'EIA Form 923'!T2548</f>
        <v>10057</v>
      </c>
      <c r="I142" s="80">
        <f>F142*'GWPs &amp; Fuel EFs'!$N17</f>
        <v>1394240.5991241219</v>
      </c>
      <c r="K142" s="80">
        <f>G142*'GWPs &amp; Fuel EFs'!$M45</f>
        <v>22.171889689339999</v>
      </c>
      <c r="L142" s="80">
        <f>K142*'GWPs &amp; Fuel EFs'!$D$11</f>
        <v>554.29724223350001</v>
      </c>
      <c r="N142" s="80">
        <f>G142*'GWPs &amp; Fuel EFs'!$M73</f>
        <v>2.2171889689339999</v>
      </c>
      <c r="O142" s="80">
        <f>N142*'GWPs &amp; Fuel EFs'!$E$11</f>
        <v>660.72231274233195</v>
      </c>
    </row>
    <row r="143" spans="1:15">
      <c r="A143" s="71"/>
      <c r="B143" s="71"/>
      <c r="D143" s="135" t="s">
        <v>3077</v>
      </c>
      <c r="E143" s="136" t="s">
        <v>3074</v>
      </c>
      <c r="F143" s="143">
        <f>'EIA Form 923'!U2614*'GWPs &amp; Fuel EFs'!$E$34</f>
        <v>195601832.40000001</v>
      </c>
      <c r="G143" s="143" t="s">
        <v>3080</v>
      </c>
      <c r="I143" s="83">
        <f>SUM(I130:I142)+F143</f>
        <v>18749745118.568333</v>
      </c>
      <c r="K143" s="80"/>
      <c r="L143" s="83">
        <f>SUM(L130:L142)</f>
        <v>44197124.936902635</v>
      </c>
      <c r="N143" s="80"/>
      <c r="O143" s="83">
        <f>SUM(O130:O142)</f>
        <v>61658272.376729652</v>
      </c>
    </row>
    <row r="144" spans="1:15" ht="13">
      <c r="A144" s="74" t="s">
        <v>220</v>
      </c>
      <c r="B144" s="70">
        <f>I153</f>
        <v>3929381731.236546</v>
      </c>
      <c r="D144" s="66" t="s">
        <v>221</v>
      </c>
      <c r="F144" s="80"/>
      <c r="G144" s="80"/>
      <c r="I144" s="83"/>
      <c r="K144" s="80"/>
      <c r="L144" s="83"/>
      <c r="N144" s="80"/>
      <c r="O144" s="83"/>
    </row>
    <row r="145" spans="1:15">
      <c r="A145" s="71"/>
      <c r="B145" s="73"/>
      <c r="D145" s="81" t="s">
        <v>388</v>
      </c>
      <c r="E145" s="82" t="s">
        <v>63</v>
      </c>
      <c r="F145" s="80">
        <f>'EIA Form 923'!T2550-'EIA Form 923'!W2550</f>
        <v>7707454</v>
      </c>
      <c r="G145" s="80">
        <f>'EIA Form 923'!T2550</f>
        <v>7707454</v>
      </c>
      <c r="I145" s="80">
        <f>F145*'GWPs &amp; Fuel EFs'!$N20</f>
        <v>884774868.33266354</v>
      </c>
      <c r="K145" s="80">
        <f>G145*'GWPs &amp; Fuel EFs'!$M48</f>
        <v>54374.487779230338</v>
      </c>
      <c r="L145" s="80">
        <f>K145*'GWPs &amp; Fuel EFs'!$D$11</f>
        <v>1359362.1944807584</v>
      </c>
      <c r="N145" s="80">
        <f>G145*'GWPs &amp; Fuel EFs'!$M76</f>
        <v>10704.977281535972</v>
      </c>
      <c r="O145" s="80">
        <f>N145*'GWPs &amp; Fuel EFs'!$E$11</f>
        <v>3190083.2298977198</v>
      </c>
    </row>
    <row r="146" spans="1:15">
      <c r="A146" s="71"/>
      <c r="B146" s="71"/>
      <c r="D146" s="81" t="s">
        <v>391</v>
      </c>
      <c r="E146" s="82" t="s">
        <v>16</v>
      </c>
      <c r="F146" s="80">
        <f>'EIA Form 923'!T2551-'EIA Form 923'!W2551</f>
        <v>9183243</v>
      </c>
      <c r="G146" s="80">
        <f>'EIA Form 923'!T2551</f>
        <v>9183243</v>
      </c>
      <c r="I146" s="80">
        <f>F146*'GWPs &amp; Fuel EFs'!$N21</f>
        <v>1922420083.2339675</v>
      </c>
      <c r="K146" s="80">
        <f>G146*'GWPs &amp; Fuel EFs'!$M49</f>
        <v>576726.02497019025</v>
      </c>
      <c r="L146" s="80">
        <f>K146*'GWPs &amp; Fuel EFs'!$D$11</f>
        <v>14418150.624254756</v>
      </c>
      <c r="N146" s="80">
        <f>G146*'GWPs &amp; Fuel EFs'!$M77</f>
        <v>76896.803329358692</v>
      </c>
      <c r="O146" s="80">
        <f>N146*'GWPs &amp; Fuel EFs'!$E$11</f>
        <v>22915247.39214889</v>
      </c>
    </row>
    <row r="147" spans="1:15">
      <c r="A147" s="71"/>
      <c r="B147" s="71"/>
      <c r="D147" s="81" t="s">
        <v>387</v>
      </c>
      <c r="E147" s="82" t="s">
        <v>154</v>
      </c>
      <c r="F147" s="80">
        <f>'EIA Form 923'!T2552-'EIA Form 923'!W2552</f>
        <v>0</v>
      </c>
      <c r="G147" s="80">
        <f>'EIA Form 923'!T2552</f>
        <v>0</v>
      </c>
      <c r="I147" s="80">
        <f>F147*'GWPs &amp; Fuel EFs'!$N22</f>
        <v>0</v>
      </c>
      <c r="K147" s="80">
        <f>G147*'GWPs &amp; Fuel EFs'!$M50</f>
        <v>0</v>
      </c>
      <c r="L147" s="80">
        <f>K147*'GWPs &amp; Fuel EFs'!$D$11</f>
        <v>0</v>
      </c>
      <c r="N147" s="80">
        <f>G147*'GWPs &amp; Fuel EFs'!$M78</f>
        <v>0</v>
      </c>
      <c r="O147" s="80">
        <f>N147*'GWPs &amp; Fuel EFs'!$E$11</f>
        <v>0</v>
      </c>
    </row>
    <row r="148" spans="1:15">
      <c r="A148" s="71"/>
      <c r="B148" s="71"/>
      <c r="D148" s="81" t="s">
        <v>396</v>
      </c>
      <c r="E148" s="82" t="s">
        <v>69</v>
      </c>
      <c r="F148" s="80">
        <f>'EIA Form 923'!T2553-'EIA Form 923'!W2553</f>
        <v>5426603</v>
      </c>
      <c r="G148" s="80">
        <f>'EIA Form 923'!T2553</f>
        <v>5426603</v>
      </c>
      <c r="I148" s="80">
        <f>F148*'GWPs &amp; Fuel EFs'!$N23</f>
        <v>1122186779.6699147</v>
      </c>
      <c r="K148" s="80">
        <f>G148*'GWPs &amp; Fuel EFs'!$M51</f>
        <v>86138.004409630987</v>
      </c>
      <c r="L148" s="80">
        <f>K148*'GWPs &amp; Fuel EFs'!$D$11</f>
        <v>2153450.1102407747</v>
      </c>
      <c r="N148" s="80">
        <f>G148*'GWPs &amp; Fuel EFs'!$M79</f>
        <v>43069.002204815493</v>
      </c>
      <c r="O148" s="80">
        <f>N148*'GWPs &amp; Fuel EFs'!$E$11</f>
        <v>12834562.657035017</v>
      </c>
    </row>
    <row r="149" spans="1:15">
      <c r="A149" s="71"/>
      <c r="B149" s="71"/>
      <c r="D149" s="81" t="s">
        <v>389</v>
      </c>
      <c r="E149" s="82" t="s">
        <v>155</v>
      </c>
      <c r="F149" s="80">
        <f>'EIA Form 923'!T2554-'EIA Form 923'!W2554</f>
        <v>0</v>
      </c>
      <c r="G149" s="80">
        <f>'EIA Form 923'!T2554</f>
        <v>0</v>
      </c>
      <c r="I149" s="80">
        <f>F149*'GWPs &amp; Fuel EFs'!$N24</f>
        <v>0</v>
      </c>
      <c r="K149" s="80">
        <f>G149*'GWPs &amp; Fuel EFs'!$M52</f>
        <v>0</v>
      </c>
      <c r="L149" s="80">
        <f>K149*'GWPs &amp; Fuel EFs'!$D$11</f>
        <v>0</v>
      </c>
      <c r="N149" s="80">
        <f>G149*'GWPs &amp; Fuel EFs'!$M80</f>
        <v>0</v>
      </c>
      <c r="O149" s="80">
        <f>N149*'GWPs &amp; Fuel EFs'!$E$11</f>
        <v>0</v>
      </c>
    </row>
    <row r="150" spans="1:15">
      <c r="A150" s="71"/>
      <c r="B150" s="71"/>
      <c r="D150" s="81" t="s">
        <v>437</v>
      </c>
      <c r="E150" s="82" t="s">
        <v>419</v>
      </c>
      <c r="F150" s="80">
        <f>'EIA Form 923'!T2555-'EIA Form 923'!W2555</f>
        <v>0</v>
      </c>
      <c r="G150" s="80">
        <f>'EIA Form 923'!T2555</f>
        <v>0</v>
      </c>
      <c r="I150" s="80">
        <f>F150*'GWPs &amp; Fuel EFs'!$N25</f>
        <v>0</v>
      </c>
      <c r="K150" s="80">
        <f>G150*'GWPs &amp; Fuel EFs'!$M53</f>
        <v>0</v>
      </c>
      <c r="L150" s="80">
        <f>K150*'GWPs &amp; Fuel EFs'!$D$11</f>
        <v>0</v>
      </c>
      <c r="N150" s="80">
        <f>G150*'GWPs &amp; Fuel EFs'!$M81</f>
        <v>0</v>
      </c>
      <c r="O150" s="80">
        <f>N150*'GWPs &amp; Fuel EFs'!$E$11</f>
        <v>0</v>
      </c>
    </row>
    <row r="151" spans="1:15">
      <c r="A151" s="71"/>
      <c r="B151" s="71"/>
      <c r="D151" s="81" t="s">
        <v>2508</v>
      </c>
      <c r="E151" s="82" t="s">
        <v>424</v>
      </c>
      <c r="F151" s="80">
        <f>'EIA Form 923'!T2556-'EIA Form 923'!W2556</f>
        <v>0</v>
      </c>
      <c r="G151" s="80">
        <f>'EIA Form 923'!T2556</f>
        <v>0</v>
      </c>
      <c r="H151" s="86"/>
      <c r="I151" s="80">
        <f>F151*'GWPs &amp; Fuel EFs'!$N26</f>
        <v>0</v>
      </c>
      <c r="K151" s="80">
        <f>G151*'GWPs &amp; Fuel EFs'!$M54</f>
        <v>0</v>
      </c>
      <c r="L151" s="80">
        <f>K151*'GWPs &amp; Fuel EFs'!$D$11</f>
        <v>0</v>
      </c>
      <c r="N151" s="80">
        <f>G151*'GWPs &amp; Fuel EFs'!$M82</f>
        <v>0</v>
      </c>
      <c r="O151" s="80">
        <f>N151*'GWPs &amp; Fuel EFs'!$E$11</f>
        <v>0</v>
      </c>
    </row>
    <row r="152" spans="1:15">
      <c r="A152" s="71"/>
      <c r="B152" s="71"/>
      <c r="D152" s="81" t="s">
        <v>436</v>
      </c>
      <c r="E152" s="82" t="s">
        <v>68</v>
      </c>
      <c r="F152" s="80">
        <f>'EIA Form 923'!T2557-'EIA Form 923'!W2557</f>
        <v>0</v>
      </c>
      <c r="G152" s="80">
        <f>'EIA Form 923'!T2557</f>
        <v>0</v>
      </c>
      <c r="I152" s="80">
        <f>F152*'GWPs &amp; Fuel EFs'!$N27</f>
        <v>0</v>
      </c>
      <c r="K152" s="80">
        <f>G152*'GWPs &amp; Fuel EFs'!$M55</f>
        <v>0</v>
      </c>
      <c r="L152" s="80">
        <f>K152*'GWPs &amp; Fuel EFs'!$D$11</f>
        <v>0</v>
      </c>
      <c r="N152" s="80">
        <f>G152*'GWPs &amp; Fuel EFs'!$M83</f>
        <v>0</v>
      </c>
      <c r="O152" s="80">
        <f>N152*'GWPs &amp; Fuel EFs'!$E$11</f>
        <v>0</v>
      </c>
    </row>
    <row r="153" spans="1:15">
      <c r="A153" s="71"/>
      <c r="B153" s="71"/>
      <c r="F153" s="80"/>
      <c r="G153" s="80"/>
      <c r="I153" s="83">
        <f>SUM(I145:I152)</f>
        <v>3929381731.236546</v>
      </c>
      <c r="L153" s="83">
        <f>SUM(L145:L152)</f>
        <v>17930962.92897629</v>
      </c>
      <c r="O153" s="83">
        <f>SUM(O145:O152)</f>
        <v>38939893.279081628</v>
      </c>
    </row>
    <row r="154" spans="1:15">
      <c r="A154" s="71"/>
      <c r="B154" s="71"/>
    </row>
    <row r="155" spans="1:15">
      <c r="A155" s="13"/>
      <c r="B155" s="13"/>
      <c r="D155" s="84"/>
      <c r="E155" s="84"/>
      <c r="F155" s="84"/>
      <c r="G155" s="84"/>
      <c r="I155" s="84"/>
      <c r="K155" s="84"/>
      <c r="L155" s="85"/>
      <c r="N155" s="84"/>
      <c r="O155" s="84"/>
    </row>
    <row r="156" spans="1:15" ht="13">
      <c r="A156" s="790" t="s">
        <v>1559</v>
      </c>
      <c r="B156" s="790"/>
      <c r="D156" s="791" t="s">
        <v>225</v>
      </c>
      <c r="E156" s="791"/>
      <c r="F156" s="791"/>
      <c r="G156" s="791"/>
      <c r="I156" s="77" t="s">
        <v>225</v>
      </c>
      <c r="K156" s="791" t="s">
        <v>225</v>
      </c>
      <c r="L156" s="791"/>
      <c r="N156" s="791" t="s">
        <v>225</v>
      </c>
      <c r="O156" s="791"/>
    </row>
    <row r="157" spans="1:15" ht="13">
      <c r="A157" s="790">
        <f>A7</f>
        <v>2021</v>
      </c>
      <c r="B157" s="790"/>
      <c r="D157" s="791" t="s">
        <v>207</v>
      </c>
      <c r="E157" s="791"/>
      <c r="F157" s="791"/>
      <c r="G157" s="791"/>
      <c r="I157" s="77" t="s">
        <v>208</v>
      </c>
      <c r="K157" s="791" t="s">
        <v>209</v>
      </c>
      <c r="L157" s="791"/>
      <c r="N157" s="791" t="s">
        <v>210</v>
      </c>
      <c r="O157" s="791"/>
    </row>
    <row r="158" spans="1:15" s="12" customFormat="1" ht="35.5">
      <c r="A158" s="67"/>
      <c r="B158" s="68" t="s">
        <v>333</v>
      </c>
      <c r="D158" s="79" t="s">
        <v>211</v>
      </c>
      <c r="E158" s="79" t="s">
        <v>212</v>
      </c>
      <c r="F158" s="79" t="s">
        <v>2515</v>
      </c>
      <c r="G158" s="79" t="s">
        <v>2516</v>
      </c>
      <c r="H158" s="28"/>
      <c r="I158" s="66" t="s">
        <v>331</v>
      </c>
      <c r="J158" s="78"/>
      <c r="K158" s="66" t="s">
        <v>332</v>
      </c>
      <c r="L158" s="66" t="s">
        <v>333</v>
      </c>
      <c r="M158" s="78"/>
      <c r="N158" s="66" t="s">
        <v>334</v>
      </c>
      <c r="O158" s="66" t="s">
        <v>333</v>
      </c>
    </row>
    <row r="159" spans="1:15" ht="24.75" customHeight="1">
      <c r="A159" s="69" t="s">
        <v>214</v>
      </c>
      <c r="B159" s="70">
        <f>SUM(B160:B165)</f>
        <v>7571198987.0764017</v>
      </c>
      <c r="D159" s="66" t="s">
        <v>215</v>
      </c>
      <c r="E159" s="66"/>
      <c r="F159" s="79" t="s">
        <v>2517</v>
      </c>
      <c r="G159" s="79" t="s">
        <v>2518</v>
      </c>
      <c r="K159" s="78"/>
      <c r="L159" s="78"/>
      <c r="N159" s="78"/>
      <c r="O159" s="78"/>
    </row>
    <row r="160" spans="1:15">
      <c r="A160" s="71" t="s">
        <v>2519</v>
      </c>
      <c r="B160" s="72">
        <f>I173</f>
        <v>4903.5158039999997</v>
      </c>
      <c r="D160" s="81" t="s">
        <v>392</v>
      </c>
      <c r="E160" s="82" t="s">
        <v>43</v>
      </c>
      <c r="F160" s="80">
        <f>'EIA Form 923'!T2561-'EIA Form 923'!W2561</f>
        <v>0</v>
      </c>
      <c r="G160" s="80">
        <f>'EIA Form 923'!T2561</f>
        <v>0</v>
      </c>
      <c r="I160" s="80">
        <f>F160*'GWPs &amp; Fuel EFs'!$N5</f>
        <v>0</v>
      </c>
      <c r="K160" s="80">
        <f>G160*'GWPs &amp; Fuel EFs'!$M33</f>
        <v>0</v>
      </c>
      <c r="L160" s="80">
        <f>K160*'GWPs &amp; Fuel EFs'!$D$11</f>
        <v>0</v>
      </c>
      <c r="N160" s="80">
        <f>G160*'GWPs &amp; Fuel EFs'!$M61</f>
        <v>0</v>
      </c>
      <c r="O160" s="80">
        <f>N160*'GWPs &amp; Fuel EFs'!$E$11</f>
        <v>0</v>
      </c>
    </row>
    <row r="161" spans="1:15">
      <c r="A161" s="71" t="s">
        <v>2520</v>
      </c>
      <c r="B161" s="73">
        <f>'EPA Part 75 &amp; GHGRP'!I425*2000</f>
        <v>7562233712.000001</v>
      </c>
      <c r="D161" s="81" t="s">
        <v>393</v>
      </c>
      <c r="E161" s="82" t="s">
        <v>48</v>
      </c>
      <c r="F161" s="80">
        <f>'EIA Form 923'!T2562-'EIA Form 923'!W2562</f>
        <v>0</v>
      </c>
      <c r="G161" s="80">
        <f>'EIA Form 923'!T2562</f>
        <v>0</v>
      </c>
      <c r="I161" s="80">
        <f>F161*'GWPs &amp; Fuel EFs'!$N6</f>
        <v>0</v>
      </c>
      <c r="K161" s="80">
        <f>G161*'GWPs &amp; Fuel EFs'!$M34</f>
        <v>0</v>
      </c>
      <c r="L161" s="80">
        <f>K161*'GWPs &amp; Fuel EFs'!$D$11</f>
        <v>0</v>
      </c>
      <c r="N161" s="80">
        <f>G161*'GWPs &amp; Fuel EFs'!$M62</f>
        <v>0</v>
      </c>
      <c r="O161" s="80">
        <f>N161*'GWPs &amp; Fuel EFs'!$E$11</f>
        <v>0</v>
      </c>
    </row>
    <row r="162" spans="1:15">
      <c r="A162" s="71" t="s">
        <v>216</v>
      </c>
      <c r="B162" s="72">
        <f>L173</f>
        <v>3526273.2123529376</v>
      </c>
      <c r="D162" s="81" t="s">
        <v>381</v>
      </c>
      <c r="E162" s="82" t="s">
        <v>46</v>
      </c>
      <c r="F162" s="80">
        <f>'EIA Form 923'!T2563-'EIA Form 923'!W2563</f>
        <v>30</v>
      </c>
      <c r="G162" s="80">
        <f>'EIA Form 923'!T2563</f>
        <v>95000</v>
      </c>
      <c r="I162" s="80">
        <f>F162*'GWPs &amp; Fuel EFs'!$N7</f>
        <v>4903.5158039999997</v>
      </c>
      <c r="K162" s="80">
        <f>G162*'GWPs &amp; Fuel EFs'!$M35</f>
        <v>628.3174467</v>
      </c>
      <c r="L162" s="80">
        <f>K162*'GWPs &amp; Fuel EFs'!$D$11</f>
        <v>15707.9361675</v>
      </c>
      <c r="N162" s="80">
        <f>G162*'GWPs &amp; Fuel EFs'!$M63</f>
        <v>125.66348933999998</v>
      </c>
      <c r="O162" s="80">
        <f>N162*'GWPs &amp; Fuel EFs'!$E$11</f>
        <v>37447.719823319996</v>
      </c>
    </row>
    <row r="163" spans="1:15">
      <c r="A163" s="71" t="s">
        <v>217</v>
      </c>
      <c r="B163" s="72">
        <f>O173</f>
        <v>4222041.5290363617</v>
      </c>
      <c r="D163" s="81" t="s">
        <v>380</v>
      </c>
      <c r="E163" s="82" t="s">
        <v>39</v>
      </c>
      <c r="F163" s="80">
        <f>'EIA Form 923'!T2564-'EIA Form 923'!W2564</f>
        <v>0</v>
      </c>
      <c r="G163" s="80">
        <f>'EIA Form 923'!T2564</f>
        <v>63694625</v>
      </c>
      <c r="I163" s="80">
        <f>F163*'GWPs &amp; Fuel EFs'!$N8</f>
        <v>0</v>
      </c>
      <c r="K163" s="80">
        <f>G163*'GWPs &amp; Fuel EFs'!$M36</f>
        <v>140422.61104741751</v>
      </c>
      <c r="L163" s="80">
        <f>K163*'GWPs &amp; Fuel EFs'!$D$11</f>
        <v>3510565.2761854376</v>
      </c>
      <c r="N163" s="80">
        <f>G163*'GWPs &amp; Fuel EFs'!$M64</f>
        <v>14042.26110474175</v>
      </c>
      <c r="O163" s="80">
        <f>N163*'GWPs &amp; Fuel EFs'!$E$11</f>
        <v>4184593.8092130418</v>
      </c>
    </row>
    <row r="164" spans="1:15">
      <c r="A164" s="71" t="s">
        <v>218</v>
      </c>
      <c r="B164" s="72">
        <f>L183</f>
        <v>362159.35436092637</v>
      </c>
      <c r="D164" s="81" t="s">
        <v>394</v>
      </c>
      <c r="E164" s="82" t="s">
        <v>17</v>
      </c>
      <c r="F164" s="80">
        <f>'EIA Form 923'!T2565-'EIA Form 923'!W2565</f>
        <v>0</v>
      </c>
      <c r="G164" s="80">
        <f>'EIA Form 923'!T2565</f>
        <v>0</v>
      </c>
      <c r="I164" s="80">
        <f>F164*'GWPs &amp; Fuel EFs'!$N9</f>
        <v>0</v>
      </c>
      <c r="K164" s="80">
        <f>G164*'GWPs &amp; Fuel EFs'!$M37</f>
        <v>0</v>
      </c>
      <c r="L164" s="80">
        <f>K164*'GWPs &amp; Fuel EFs'!$D$11</f>
        <v>0</v>
      </c>
      <c r="N164" s="80">
        <f>G164*'GWPs &amp; Fuel EFs'!$M65</f>
        <v>0</v>
      </c>
      <c r="O164" s="80">
        <f>N164*'GWPs &amp; Fuel EFs'!$E$11</f>
        <v>0</v>
      </c>
    </row>
    <row r="165" spans="1:15">
      <c r="A165" s="71" t="s">
        <v>219</v>
      </c>
      <c r="B165" s="72">
        <f>O183</f>
        <v>849897.46484650404</v>
      </c>
      <c r="D165" s="81" t="s">
        <v>395</v>
      </c>
      <c r="E165" s="82" t="s">
        <v>82</v>
      </c>
      <c r="F165" s="80">
        <f>'EIA Form 923'!T2566-'EIA Form 923'!W2566</f>
        <v>0</v>
      </c>
      <c r="G165" s="80">
        <f>'EIA Form 923'!T2566</f>
        <v>0</v>
      </c>
      <c r="I165" s="80">
        <f>F165*'GWPs &amp; Fuel EFs'!$N10</f>
        <v>0</v>
      </c>
      <c r="K165" s="80">
        <f>G165*'GWPs &amp; Fuel EFs'!$M38</f>
        <v>0</v>
      </c>
      <c r="L165" s="80">
        <f>K165*'GWPs &amp; Fuel EFs'!$D$11</f>
        <v>0</v>
      </c>
      <c r="N165" s="80">
        <f>G165*'GWPs &amp; Fuel EFs'!$M66</f>
        <v>0</v>
      </c>
      <c r="O165" s="80">
        <f>N165*'GWPs &amp; Fuel EFs'!$E$11</f>
        <v>0</v>
      </c>
    </row>
    <row r="166" spans="1:15">
      <c r="A166" s="71"/>
      <c r="B166" s="71"/>
      <c r="D166" s="81" t="s">
        <v>390</v>
      </c>
      <c r="E166" s="82" t="s">
        <v>402</v>
      </c>
      <c r="F166" s="80">
        <f>'EIA Form 923'!T2567-'EIA Form 923'!W2567</f>
        <v>0</v>
      </c>
      <c r="G166" s="80">
        <f>'EIA Form 923'!T2567</f>
        <v>0</v>
      </c>
      <c r="I166" s="80">
        <f>F166*'GWPs &amp; Fuel EFs'!$N11</f>
        <v>0</v>
      </c>
      <c r="K166" s="80">
        <f>G166*'GWPs &amp; Fuel EFs'!$M39</f>
        <v>0</v>
      </c>
      <c r="L166" s="80">
        <f>K166*'GWPs &amp; Fuel EFs'!$D$11</f>
        <v>0</v>
      </c>
      <c r="N166" s="80">
        <f>G166*'GWPs &amp; Fuel EFs'!$M67</f>
        <v>0</v>
      </c>
      <c r="O166" s="80">
        <f>N166*'GWPs &amp; Fuel EFs'!$E$11</f>
        <v>0</v>
      </c>
    </row>
    <row r="167" spans="1:15">
      <c r="A167" s="71"/>
      <c r="B167" s="71"/>
      <c r="D167" s="81" t="s">
        <v>383</v>
      </c>
      <c r="E167" s="82" t="s">
        <v>65</v>
      </c>
      <c r="F167" s="80">
        <f>'EIA Form 923'!T2568-'EIA Form 923'!W2568</f>
        <v>0</v>
      </c>
      <c r="G167" s="80">
        <f>'EIA Form 923'!T2568</f>
        <v>0</v>
      </c>
      <c r="I167" s="80">
        <f>F167*'GWPs &amp; Fuel EFs'!$N12</f>
        <v>0</v>
      </c>
      <c r="K167" s="80">
        <f>G167*'GWPs &amp; Fuel EFs'!$M40</f>
        <v>0</v>
      </c>
      <c r="L167" s="80">
        <f>K167*'GWPs &amp; Fuel EFs'!$D$11</f>
        <v>0</v>
      </c>
      <c r="N167" s="80">
        <f>G167*'GWPs &amp; Fuel EFs'!$M68</f>
        <v>0</v>
      </c>
      <c r="O167" s="80">
        <f>N167*'GWPs &amp; Fuel EFs'!$E$11</f>
        <v>0</v>
      </c>
    </row>
    <row r="168" spans="1:15">
      <c r="A168" s="71"/>
      <c r="B168" s="71"/>
      <c r="D168" s="81" t="s">
        <v>382</v>
      </c>
      <c r="E168" s="82" t="s">
        <v>61</v>
      </c>
      <c r="F168" s="80">
        <f>'EIA Form 923'!T2569-'EIA Form 923'!W2569</f>
        <v>0</v>
      </c>
      <c r="G168" s="80">
        <f>'EIA Form 923'!T2569</f>
        <v>0</v>
      </c>
      <c r="I168" s="80">
        <f>F168*'GWPs &amp; Fuel EFs'!$N13</f>
        <v>0</v>
      </c>
      <c r="K168" s="80">
        <f>G168*'GWPs &amp; Fuel EFs'!$M41</f>
        <v>0</v>
      </c>
      <c r="L168" s="80">
        <f>K168*'GWPs &amp; Fuel EFs'!$D$11</f>
        <v>0</v>
      </c>
      <c r="N168" s="80">
        <f>G168*'GWPs &amp; Fuel EFs'!$M69</f>
        <v>0</v>
      </c>
      <c r="O168" s="80">
        <f>N168*'GWPs &amp; Fuel EFs'!$E$11</f>
        <v>0</v>
      </c>
    </row>
    <row r="169" spans="1:15">
      <c r="A169" s="71"/>
      <c r="B169" s="71"/>
      <c r="D169" s="81" t="s">
        <v>384</v>
      </c>
      <c r="E169" s="82" t="s">
        <v>66</v>
      </c>
      <c r="F169" s="80">
        <f>'EIA Form 923'!T2570-'EIA Form 923'!W2570</f>
        <v>0</v>
      </c>
      <c r="G169" s="80">
        <f>'EIA Form 923'!T2570</f>
        <v>0</v>
      </c>
      <c r="I169" s="80">
        <f>F169*'GWPs &amp; Fuel EFs'!$N14</f>
        <v>0</v>
      </c>
      <c r="K169" s="80">
        <f>G169*'GWPs &amp; Fuel EFs'!$M42</f>
        <v>0</v>
      </c>
      <c r="L169" s="80">
        <f>K169*'GWPs &amp; Fuel EFs'!$D$11</f>
        <v>0</v>
      </c>
      <c r="N169" s="80">
        <f>G169*'GWPs &amp; Fuel EFs'!$M70</f>
        <v>0</v>
      </c>
      <c r="O169" s="80">
        <f>N169*'GWPs &amp; Fuel EFs'!$E$11</f>
        <v>0</v>
      </c>
    </row>
    <row r="170" spans="1:15">
      <c r="A170" s="71"/>
      <c r="B170" s="71"/>
      <c r="D170" s="81" t="s">
        <v>385</v>
      </c>
      <c r="E170" s="82" t="s">
        <v>76</v>
      </c>
      <c r="F170" s="80">
        <f>'EIA Form 923'!T2571-'EIA Form 923'!W2571</f>
        <v>0</v>
      </c>
      <c r="G170" s="80">
        <f>'EIA Form 923'!T2571</f>
        <v>0</v>
      </c>
      <c r="I170" s="80">
        <f>F170*'GWPs &amp; Fuel EFs'!$N15</f>
        <v>0</v>
      </c>
      <c r="K170" s="80">
        <f>G170*'GWPs &amp; Fuel EFs'!$M43</f>
        <v>0</v>
      </c>
      <c r="L170" s="80">
        <f>K170*'GWPs &amp; Fuel EFs'!$D$11</f>
        <v>0</v>
      </c>
      <c r="N170" s="80">
        <f>G170*'GWPs &amp; Fuel EFs'!$M71</f>
        <v>0</v>
      </c>
      <c r="O170" s="80">
        <f>N170*'GWPs &amp; Fuel EFs'!$E$11</f>
        <v>0</v>
      </c>
    </row>
    <row r="171" spans="1:15">
      <c r="A171" s="71"/>
      <c r="B171" s="71"/>
      <c r="D171" s="81" t="s">
        <v>386</v>
      </c>
      <c r="E171" s="82" t="s">
        <v>73</v>
      </c>
      <c r="F171" s="80">
        <f>'EIA Form 923'!T2572-'EIA Form 923'!W2572</f>
        <v>0</v>
      </c>
      <c r="G171" s="80">
        <f>'EIA Form 923'!T2572</f>
        <v>0</v>
      </c>
      <c r="I171" s="80">
        <f>F171*'GWPs &amp; Fuel EFs'!$N16</f>
        <v>0</v>
      </c>
      <c r="K171" s="80">
        <f>G171*'GWPs &amp; Fuel EFs'!$M44</f>
        <v>0</v>
      </c>
      <c r="L171" s="80">
        <f>K171*'GWPs &amp; Fuel EFs'!$D$11</f>
        <v>0</v>
      </c>
      <c r="N171" s="80">
        <f>G171*'GWPs &amp; Fuel EFs'!$M72</f>
        <v>0</v>
      </c>
      <c r="O171" s="80">
        <f>N171*'GWPs &amp; Fuel EFs'!$E$11</f>
        <v>0</v>
      </c>
    </row>
    <row r="172" spans="1:15">
      <c r="A172" s="71"/>
      <c r="B172" s="71"/>
      <c r="D172" s="81" t="s">
        <v>435</v>
      </c>
      <c r="E172" s="82" t="s">
        <v>426</v>
      </c>
      <c r="F172" s="80">
        <f>'EIA Form 923'!T2573-'EIA Form 923'!W2573</f>
        <v>0</v>
      </c>
      <c r="G172" s="80">
        <f>'EIA Form 923'!T2573</f>
        <v>0</v>
      </c>
      <c r="I172" s="80">
        <f>F172*'GWPs &amp; Fuel EFs'!$N17</f>
        <v>0</v>
      </c>
      <c r="K172" s="80">
        <f>G172*'GWPs &amp; Fuel EFs'!$M45</f>
        <v>0</v>
      </c>
      <c r="L172" s="80">
        <f>K172*'GWPs &amp; Fuel EFs'!$D$11</f>
        <v>0</v>
      </c>
      <c r="N172" s="80">
        <f>G172*'GWPs &amp; Fuel EFs'!$M73</f>
        <v>0</v>
      </c>
      <c r="O172" s="80">
        <f>N172*'GWPs &amp; Fuel EFs'!$E$11</f>
        <v>0</v>
      </c>
    </row>
    <row r="173" spans="1:15">
      <c r="A173" s="71"/>
      <c r="B173" s="71"/>
      <c r="D173" s="81"/>
      <c r="F173" s="80"/>
      <c r="G173" s="80"/>
      <c r="I173" s="83">
        <f>SUM(I160:I172)</f>
        <v>4903.5158039999997</v>
      </c>
      <c r="K173" s="80"/>
      <c r="L173" s="83">
        <f>SUM(L160:L172)</f>
        <v>3526273.2123529376</v>
      </c>
      <c r="N173" s="80"/>
      <c r="O173" s="83">
        <f>SUM(O160:O172)</f>
        <v>4222041.5290363617</v>
      </c>
    </row>
    <row r="174" spans="1:15" ht="13">
      <c r="A174" s="74" t="s">
        <v>220</v>
      </c>
      <c r="B174" s="70">
        <f>I183</f>
        <v>235720469.76966795</v>
      </c>
      <c r="D174" s="66" t="s">
        <v>221</v>
      </c>
      <c r="F174" s="80"/>
      <c r="G174" s="80"/>
      <c r="I174" s="83"/>
      <c r="K174" s="80"/>
      <c r="L174" s="83"/>
      <c r="N174" s="80"/>
      <c r="O174" s="83"/>
    </row>
    <row r="175" spans="1:15">
      <c r="A175" s="71"/>
      <c r="B175" s="71"/>
      <c r="D175" s="81" t="s">
        <v>388</v>
      </c>
      <c r="E175" s="82" t="s">
        <v>63</v>
      </c>
      <c r="F175" s="80">
        <f>'EIA Form 923'!T2575-'EIA Form 923'!W2575</f>
        <v>2011591</v>
      </c>
      <c r="G175" s="80">
        <f>'EIA Form 923'!T2575</f>
        <v>2011591</v>
      </c>
      <c r="I175" s="80">
        <f>F175*'GWPs &amp; Fuel EFs'!$N20</f>
        <v>230919985.01245302</v>
      </c>
      <c r="K175" s="80">
        <f>G175*'GWPs &amp; Fuel EFs'!$M48</f>
        <v>14191.356866522943</v>
      </c>
      <c r="L175" s="80">
        <f>K175*'GWPs &amp; Fuel EFs'!$D$11</f>
        <v>354783.92166307359</v>
      </c>
      <c r="N175" s="80">
        <f>G175*'GWPs &amp; Fuel EFs'!$M76</f>
        <v>2793.9233830967046</v>
      </c>
      <c r="O175" s="80">
        <f>N175*'GWPs &amp; Fuel EFs'!$E$11</f>
        <v>832589.16816281795</v>
      </c>
    </row>
    <row r="176" spans="1:15">
      <c r="A176" s="71"/>
      <c r="B176" s="73"/>
      <c r="D176" s="81" t="s">
        <v>391</v>
      </c>
      <c r="E176" s="82" t="s">
        <v>16</v>
      </c>
      <c r="F176" s="80">
        <f>'EIA Form 923'!T2576-'EIA Form 923'!W2576</f>
        <v>0</v>
      </c>
      <c r="G176" s="80">
        <f>'EIA Form 923'!T2576</f>
        <v>0</v>
      </c>
      <c r="I176" s="80">
        <f>F176*'GWPs &amp; Fuel EFs'!$N21</f>
        <v>0</v>
      </c>
      <c r="K176" s="80">
        <f>G176*'GWPs &amp; Fuel EFs'!$M49</f>
        <v>0</v>
      </c>
      <c r="L176" s="80">
        <f>K176*'GWPs &amp; Fuel EFs'!$D$11</f>
        <v>0</v>
      </c>
      <c r="N176" s="80">
        <f>G176*'GWPs &amp; Fuel EFs'!$M77</f>
        <v>0</v>
      </c>
      <c r="O176" s="80">
        <f>N176*'GWPs &amp; Fuel EFs'!$E$11</f>
        <v>0</v>
      </c>
    </row>
    <row r="177" spans="1:15">
      <c r="A177" s="71"/>
      <c r="B177" s="71"/>
      <c r="D177" s="81" t="s">
        <v>387</v>
      </c>
      <c r="E177" s="82" t="s">
        <v>154</v>
      </c>
      <c r="F177" s="80">
        <f>'EIA Form 923'!T2577-'EIA Form 923'!W2577</f>
        <v>0</v>
      </c>
      <c r="G177" s="80">
        <f>'EIA Form 923'!T2577</f>
        <v>0</v>
      </c>
      <c r="I177" s="80">
        <f>F177*'GWPs &amp; Fuel EFs'!$N22</f>
        <v>0</v>
      </c>
      <c r="K177" s="80">
        <f>G177*'GWPs &amp; Fuel EFs'!$M50</f>
        <v>0</v>
      </c>
      <c r="L177" s="80">
        <f>K177*'GWPs &amp; Fuel EFs'!$D$11</f>
        <v>0</v>
      </c>
      <c r="N177" s="80">
        <f>G177*'GWPs &amp; Fuel EFs'!$M78</f>
        <v>0</v>
      </c>
      <c r="O177" s="80">
        <f>N177*'GWPs &amp; Fuel EFs'!$E$11</f>
        <v>0</v>
      </c>
    </row>
    <row r="178" spans="1:15">
      <c r="A178" s="71"/>
      <c r="B178" s="71"/>
      <c r="D178" s="81" t="s">
        <v>396</v>
      </c>
      <c r="E178" s="82" t="s">
        <v>69</v>
      </c>
      <c r="F178" s="80">
        <f>'EIA Form 923'!T2578-'EIA Form 923'!W2578</f>
        <v>0</v>
      </c>
      <c r="G178" s="80">
        <f>'EIA Form 923'!T2578</f>
        <v>0</v>
      </c>
      <c r="I178" s="80">
        <f>F178*'GWPs &amp; Fuel EFs'!$N23</f>
        <v>0</v>
      </c>
      <c r="K178" s="80">
        <f>G178*'GWPs &amp; Fuel EFs'!$M51</f>
        <v>0</v>
      </c>
      <c r="L178" s="80">
        <f>K178*'GWPs &amp; Fuel EFs'!$D$11</f>
        <v>0</v>
      </c>
      <c r="N178" s="80">
        <f>G178*'GWPs &amp; Fuel EFs'!$M79</f>
        <v>0</v>
      </c>
      <c r="O178" s="80">
        <f>N178*'GWPs &amp; Fuel EFs'!$E$11</f>
        <v>0</v>
      </c>
    </row>
    <row r="179" spans="1:15">
      <c r="A179" s="71"/>
      <c r="B179" s="73"/>
      <c r="D179" s="81" t="s">
        <v>389</v>
      </c>
      <c r="E179" s="82" t="s">
        <v>155</v>
      </c>
      <c r="F179" s="80">
        <f>'EIA Form 923'!T2579-'EIA Form 923'!W2579</f>
        <v>0</v>
      </c>
      <c r="G179" s="80">
        <f>'EIA Form 923'!T2579</f>
        <v>0</v>
      </c>
      <c r="I179" s="80">
        <f>F179*'GWPs &amp; Fuel EFs'!$N24</f>
        <v>0</v>
      </c>
      <c r="K179" s="80">
        <f>G179*'GWPs &amp; Fuel EFs'!$M52</f>
        <v>0</v>
      </c>
      <c r="L179" s="80">
        <f>K179*'GWPs &amp; Fuel EFs'!$D$11</f>
        <v>0</v>
      </c>
      <c r="N179" s="80">
        <f>G179*'GWPs &amp; Fuel EFs'!$M80</f>
        <v>0</v>
      </c>
      <c r="O179" s="80">
        <f>N179*'GWPs &amp; Fuel EFs'!$E$11</f>
        <v>0</v>
      </c>
    </row>
    <row r="180" spans="1:15">
      <c r="A180" s="71"/>
      <c r="B180" s="73"/>
      <c r="D180" s="81" t="s">
        <v>437</v>
      </c>
      <c r="E180" s="82" t="s">
        <v>419</v>
      </c>
      <c r="F180" s="80">
        <f>'EIA Form 923'!T2580-'EIA Form 923'!W2580</f>
        <v>0</v>
      </c>
      <c r="G180" s="80">
        <f>'EIA Form 923'!T2580</f>
        <v>0</v>
      </c>
      <c r="I180" s="80">
        <f>F180*'GWPs &amp; Fuel EFs'!$N25</f>
        <v>0</v>
      </c>
      <c r="K180" s="80">
        <f>G180*'GWPs &amp; Fuel EFs'!$M53</f>
        <v>0</v>
      </c>
      <c r="L180" s="80">
        <f>K180*'GWPs &amp; Fuel EFs'!$D$11</f>
        <v>0</v>
      </c>
      <c r="N180" s="80">
        <f>G180*'GWPs &amp; Fuel EFs'!$M81</f>
        <v>0</v>
      </c>
      <c r="O180" s="80">
        <f>N180*'GWPs &amp; Fuel EFs'!$E$11</f>
        <v>0</v>
      </c>
    </row>
    <row r="181" spans="1:15">
      <c r="A181" s="71"/>
      <c r="B181" s="73"/>
      <c r="D181" s="81" t="s">
        <v>2508</v>
      </c>
      <c r="E181" s="82" t="s">
        <v>424</v>
      </c>
      <c r="F181" s="80">
        <f>'EIA Form 923'!T2581-'EIA Form 923'!W2581</f>
        <v>0</v>
      </c>
      <c r="G181" s="80">
        <f>'EIA Form 923'!T2581</f>
        <v>0</v>
      </c>
      <c r="H181" s="86"/>
      <c r="I181" s="80">
        <f>F181*'GWPs &amp; Fuel EFs'!$N26</f>
        <v>0</v>
      </c>
      <c r="K181" s="80">
        <f>G181*'GWPs &amp; Fuel EFs'!$M54</f>
        <v>0</v>
      </c>
      <c r="L181" s="80">
        <f>K181*'GWPs &amp; Fuel EFs'!$D$11</f>
        <v>0</v>
      </c>
      <c r="N181" s="80">
        <f>G181*'GWPs &amp; Fuel EFs'!$M82</f>
        <v>0</v>
      </c>
      <c r="O181" s="80">
        <f>N181*'GWPs &amp; Fuel EFs'!$E$11</f>
        <v>0</v>
      </c>
    </row>
    <row r="182" spans="1:15">
      <c r="A182" s="71"/>
      <c r="B182" s="73"/>
      <c r="D182" s="81" t="s">
        <v>436</v>
      </c>
      <c r="E182" s="82" t="s">
        <v>68</v>
      </c>
      <c r="F182" s="80">
        <f>'EIA Form 923'!T2582-'EIA Form 923'!W2582</f>
        <v>41818</v>
      </c>
      <c r="G182" s="80">
        <f>'EIA Form 923'!T2582</f>
        <v>41818</v>
      </c>
      <c r="I182" s="80">
        <f>F182*'GWPs &amp; Fuel EFs'!$N27</f>
        <v>4800484.7572149411</v>
      </c>
      <c r="K182" s="80">
        <f>G182*'GWPs &amp; Fuel EFs'!$M55</f>
        <v>295.017307914112</v>
      </c>
      <c r="L182" s="80">
        <f>K182*'GWPs &amp; Fuel EFs'!$D$11</f>
        <v>7375.4326978527997</v>
      </c>
      <c r="N182" s="80">
        <f>G182*'GWPs &amp; Fuel EFs'!$M83</f>
        <v>58.0815324955908</v>
      </c>
      <c r="O182" s="80">
        <f>N182*'GWPs &amp; Fuel EFs'!$E$11</f>
        <v>17308.296683686058</v>
      </c>
    </row>
    <row r="183" spans="1:15">
      <c r="A183" s="71"/>
      <c r="B183" s="73"/>
      <c r="D183" s="81"/>
      <c r="F183" s="80"/>
      <c r="G183" s="80"/>
      <c r="I183" s="83">
        <f>SUM(I175:I182)</f>
        <v>235720469.76966795</v>
      </c>
      <c r="L183" s="83">
        <f>SUM(L175:L182)</f>
        <v>362159.35436092637</v>
      </c>
      <c r="O183" s="83">
        <f>SUM(O175:O182)</f>
        <v>849897.46484650404</v>
      </c>
    </row>
    <row r="184" spans="1:15">
      <c r="A184" s="71"/>
      <c r="B184" s="71"/>
    </row>
    <row r="185" spans="1:15">
      <c r="A185" s="13"/>
      <c r="B185" s="13"/>
      <c r="D185" s="84"/>
      <c r="E185" s="84"/>
      <c r="F185" s="84"/>
      <c r="G185" s="84"/>
      <c r="I185" s="84"/>
      <c r="K185" s="84"/>
      <c r="L185" s="84"/>
      <c r="N185" s="84"/>
      <c r="O185" s="84"/>
    </row>
    <row r="186" spans="1:15" ht="13">
      <c r="A186" s="790" t="s">
        <v>1560</v>
      </c>
      <c r="B186" s="790"/>
      <c r="D186" s="791" t="s">
        <v>224</v>
      </c>
      <c r="E186" s="791"/>
      <c r="F186" s="791"/>
      <c r="G186" s="791"/>
      <c r="I186" s="77" t="s">
        <v>224</v>
      </c>
      <c r="K186" s="791" t="s">
        <v>224</v>
      </c>
      <c r="L186" s="791"/>
      <c r="N186" s="791" t="s">
        <v>224</v>
      </c>
      <c r="O186" s="791"/>
    </row>
    <row r="187" spans="1:15" ht="13">
      <c r="A187" s="790">
        <f>A7</f>
        <v>2021</v>
      </c>
      <c r="B187" s="790"/>
      <c r="D187" s="791" t="s">
        <v>207</v>
      </c>
      <c r="E187" s="791"/>
      <c r="F187" s="791"/>
      <c r="G187" s="791"/>
      <c r="I187" s="77" t="s">
        <v>208</v>
      </c>
      <c r="K187" s="791" t="s">
        <v>209</v>
      </c>
      <c r="L187" s="791"/>
      <c r="N187" s="791" t="s">
        <v>210</v>
      </c>
      <c r="O187" s="791"/>
    </row>
    <row r="188" spans="1:15" s="12" customFormat="1" ht="35.5">
      <c r="A188" s="67"/>
      <c r="B188" s="68" t="s">
        <v>333</v>
      </c>
      <c r="D188" s="79" t="s">
        <v>211</v>
      </c>
      <c r="E188" s="79" t="s">
        <v>212</v>
      </c>
      <c r="F188" s="79" t="s">
        <v>2515</v>
      </c>
      <c r="G188" s="79" t="s">
        <v>2516</v>
      </c>
      <c r="H188" s="28"/>
      <c r="I188" s="66" t="s">
        <v>331</v>
      </c>
      <c r="J188" s="78"/>
      <c r="K188" s="66" t="s">
        <v>332</v>
      </c>
      <c r="L188" s="66" t="s">
        <v>333</v>
      </c>
      <c r="M188" s="78"/>
      <c r="N188" s="66" t="s">
        <v>334</v>
      </c>
      <c r="O188" s="66" t="s">
        <v>333</v>
      </c>
    </row>
    <row r="189" spans="1:15" ht="24" customHeight="1">
      <c r="A189" s="69" t="s">
        <v>214</v>
      </c>
      <c r="B189" s="70">
        <f>SUM(B190:B195)</f>
        <v>29868104.221672252</v>
      </c>
      <c r="D189" s="66" t="s">
        <v>215</v>
      </c>
      <c r="E189" s="66"/>
      <c r="F189" s="79" t="s">
        <v>2517</v>
      </c>
      <c r="G189" s="79" t="s">
        <v>2518</v>
      </c>
      <c r="K189" s="78"/>
      <c r="L189" s="78"/>
      <c r="N189" s="78"/>
      <c r="O189" s="78"/>
    </row>
    <row r="190" spans="1:15">
      <c r="A190" s="71" t="s">
        <v>2519</v>
      </c>
      <c r="B190" s="72">
        <f>I203</f>
        <v>5404850.095761599</v>
      </c>
      <c r="D190" s="81" t="s">
        <v>392</v>
      </c>
      <c r="E190" s="82" t="s">
        <v>43</v>
      </c>
      <c r="F190" s="80">
        <f>'EIA Form 923'!T2586-'EIA Form 923'!W2586</f>
        <v>0</v>
      </c>
      <c r="G190" s="80">
        <f>'EIA Form 923'!T2586</f>
        <v>0</v>
      </c>
      <c r="I190" s="80">
        <f>F190*'GWPs &amp; Fuel EFs'!$N5</f>
        <v>0</v>
      </c>
      <c r="K190" s="80">
        <f>G190*'GWPs &amp; Fuel EFs'!$M33</f>
        <v>0</v>
      </c>
      <c r="L190" s="80">
        <f>K190*'GWPs &amp; Fuel EFs'!$D$11</f>
        <v>0</v>
      </c>
      <c r="N190" s="80">
        <f>G190*'GWPs &amp; Fuel EFs'!$M61</f>
        <v>0</v>
      </c>
      <c r="O190" s="80">
        <f>N190*'GWPs &amp; Fuel EFs'!$E$11</f>
        <v>0</v>
      </c>
    </row>
    <row r="191" spans="1:15">
      <c r="A191" s="71" t="s">
        <v>2520</v>
      </c>
      <c r="B191" s="73">
        <f>'EPA Part 75 &amp; GHGRP'!I426*2000</f>
        <v>6118599.9999999991</v>
      </c>
      <c r="D191" s="81" t="s">
        <v>393</v>
      </c>
      <c r="E191" s="82" t="s">
        <v>48</v>
      </c>
      <c r="F191" s="80">
        <f>'EIA Form 923'!T2587-'EIA Form 923'!W2587</f>
        <v>0</v>
      </c>
      <c r="G191" s="80">
        <f>'EIA Form 923'!T2587</f>
        <v>0</v>
      </c>
      <c r="I191" s="80">
        <f>F191*'GWPs &amp; Fuel EFs'!$N6</f>
        <v>0</v>
      </c>
      <c r="K191" s="80">
        <f>G191*'GWPs &amp; Fuel EFs'!$M34</f>
        <v>0</v>
      </c>
      <c r="L191" s="80">
        <f>K191*'GWPs &amp; Fuel EFs'!$D$11</f>
        <v>0</v>
      </c>
      <c r="N191" s="80">
        <f>G191*'GWPs &amp; Fuel EFs'!$M62</f>
        <v>0</v>
      </c>
      <c r="O191" s="80">
        <f>N191*'GWPs &amp; Fuel EFs'!$E$11</f>
        <v>0</v>
      </c>
    </row>
    <row r="192" spans="1:15">
      <c r="A192" s="71" t="s">
        <v>216</v>
      </c>
      <c r="B192" s="72">
        <f>L203</f>
        <v>10498.468032005499</v>
      </c>
      <c r="D192" s="81" t="s">
        <v>381</v>
      </c>
      <c r="E192" s="82" t="s">
        <v>46</v>
      </c>
      <c r="F192" s="80">
        <f>'EIA Form 923'!T2588-'EIA Form 923'!W2588</f>
        <v>27191</v>
      </c>
      <c r="G192" s="80">
        <f>'EIA Form 923'!T2588</f>
        <v>34185</v>
      </c>
      <c r="I192" s="80">
        <f>F192*'GWPs &amp; Fuel EFs'!$N7</f>
        <v>4444383.2742187995</v>
      </c>
      <c r="K192" s="80">
        <f>G192*'GWPs &amp; Fuel EFs'!$M35</f>
        <v>226.09507279409999</v>
      </c>
      <c r="L192" s="80">
        <f>K192*'GWPs &amp; Fuel EFs'!$D$11</f>
        <v>5652.3768198524995</v>
      </c>
      <c r="N192" s="80">
        <f>G192*'GWPs &amp; Fuel EFs'!$M63</f>
        <v>45.219014558819993</v>
      </c>
      <c r="O192" s="80">
        <f>N192*'GWPs &amp; Fuel EFs'!$E$11</f>
        <v>13475.266338528358</v>
      </c>
    </row>
    <row r="193" spans="1:15">
      <c r="A193" s="71" t="s">
        <v>217</v>
      </c>
      <c r="B193" s="72">
        <f>O203</f>
        <v>24487.392481239323</v>
      </c>
      <c r="D193" s="81" t="s">
        <v>380</v>
      </c>
      <c r="E193" s="82" t="s">
        <v>39</v>
      </c>
      <c r="F193" s="80">
        <f>'EIA Form 923'!T2589-'EIA Form 923'!W2589</f>
        <v>8234</v>
      </c>
      <c r="G193" s="80">
        <f>'EIA Form 923'!T2589</f>
        <v>8234</v>
      </c>
      <c r="I193" s="80">
        <f>F193*'GWPs &amp; Fuel EFs'!$N8</f>
        <v>960466.82154279982</v>
      </c>
      <c r="K193" s="80">
        <f>G193*'GWPs &amp; Fuel EFs'!$M36</f>
        <v>18.15286265308</v>
      </c>
      <c r="L193" s="80">
        <f>K193*'GWPs &amp; Fuel EFs'!$D$11</f>
        <v>453.82156632699997</v>
      </c>
      <c r="N193" s="80">
        <f>G193*'GWPs &amp; Fuel EFs'!$M64</f>
        <v>1.815286265308</v>
      </c>
      <c r="O193" s="80">
        <f>N193*'GWPs &amp; Fuel EFs'!$E$11</f>
        <v>540.95530706178397</v>
      </c>
    </row>
    <row r="194" spans="1:15">
      <c r="A194" s="71" t="s">
        <v>218</v>
      </c>
      <c r="B194" s="72">
        <f>L213</f>
        <v>2689687.7012655679</v>
      </c>
      <c r="D194" s="81" t="s">
        <v>394</v>
      </c>
      <c r="E194" s="82" t="s">
        <v>17</v>
      </c>
      <c r="F194" s="80">
        <f>'EIA Form 923'!T2590-'EIA Form 923'!W2590</f>
        <v>0</v>
      </c>
      <c r="G194" s="80">
        <f>'EIA Form 923'!T2590</f>
        <v>0</v>
      </c>
      <c r="I194" s="80">
        <f>F194*'GWPs &amp; Fuel EFs'!$N9</f>
        <v>0</v>
      </c>
      <c r="K194" s="80">
        <f>G194*'GWPs &amp; Fuel EFs'!$M37</f>
        <v>0</v>
      </c>
      <c r="L194" s="80">
        <f>K194*'GWPs &amp; Fuel EFs'!$D$11</f>
        <v>0</v>
      </c>
      <c r="N194" s="80">
        <f>G194*'GWPs &amp; Fuel EFs'!$M65</f>
        <v>0</v>
      </c>
      <c r="O194" s="80">
        <f>N194*'GWPs &amp; Fuel EFs'!$E$11</f>
        <v>0</v>
      </c>
    </row>
    <row r="195" spans="1:15">
      <c r="A195" s="71" t="s">
        <v>219</v>
      </c>
      <c r="B195" s="72">
        <f>O213</f>
        <v>15619980.564131839</v>
      </c>
      <c r="D195" s="81" t="s">
        <v>395</v>
      </c>
      <c r="E195" s="82" t="s">
        <v>82</v>
      </c>
      <c r="F195" s="80">
        <f>'EIA Form 923'!T2591-'EIA Form 923'!W2591</f>
        <v>0</v>
      </c>
      <c r="G195" s="80">
        <f>'EIA Form 923'!T2591</f>
        <v>0</v>
      </c>
      <c r="I195" s="80">
        <f>F195*'GWPs &amp; Fuel EFs'!$N10</f>
        <v>0</v>
      </c>
      <c r="K195" s="80">
        <f>G195*'GWPs &amp; Fuel EFs'!$M38</f>
        <v>0</v>
      </c>
      <c r="L195" s="80">
        <f>K195*'GWPs &amp; Fuel EFs'!$D$11</f>
        <v>0</v>
      </c>
      <c r="N195" s="80">
        <f>G195*'GWPs &amp; Fuel EFs'!$M66</f>
        <v>0</v>
      </c>
      <c r="O195" s="80">
        <f>N195*'GWPs &amp; Fuel EFs'!$E$11</f>
        <v>0</v>
      </c>
    </row>
    <row r="196" spans="1:15">
      <c r="A196" s="71"/>
      <c r="B196" s="71"/>
      <c r="D196" s="81" t="s">
        <v>390</v>
      </c>
      <c r="E196" s="82" t="s">
        <v>402</v>
      </c>
      <c r="F196" s="80">
        <f>'EIA Form 923'!T2592-'EIA Form 923'!W2592</f>
        <v>0</v>
      </c>
      <c r="G196" s="80">
        <f>'EIA Form 923'!T2592</f>
        <v>0</v>
      </c>
      <c r="I196" s="80">
        <f>F196*'GWPs &amp; Fuel EFs'!$N11</f>
        <v>0</v>
      </c>
      <c r="K196" s="80">
        <f>G196*'GWPs &amp; Fuel EFs'!$M39</f>
        <v>0</v>
      </c>
      <c r="L196" s="80">
        <f>K196*'GWPs &amp; Fuel EFs'!$D$11</f>
        <v>0</v>
      </c>
      <c r="N196" s="80">
        <f>G196*'GWPs &amp; Fuel EFs'!$M67</f>
        <v>0</v>
      </c>
      <c r="O196" s="80">
        <f>N196*'GWPs &amp; Fuel EFs'!$E$11</f>
        <v>0</v>
      </c>
    </row>
    <row r="197" spans="1:15">
      <c r="A197" s="71"/>
      <c r="B197" s="71"/>
      <c r="D197" s="81" t="s">
        <v>383</v>
      </c>
      <c r="E197" s="82" t="s">
        <v>65</v>
      </c>
      <c r="F197" s="80">
        <f>'EIA Form 923'!T2593-'EIA Form 923'!W2593</f>
        <v>0</v>
      </c>
      <c r="G197" s="80">
        <f>'EIA Form 923'!T2593</f>
        <v>0</v>
      </c>
      <c r="I197" s="80">
        <f>F197*'GWPs &amp; Fuel EFs'!$N12</f>
        <v>0</v>
      </c>
      <c r="K197" s="80">
        <f>G197*'GWPs &amp; Fuel EFs'!$M40</f>
        <v>0</v>
      </c>
      <c r="L197" s="80">
        <f>K197*'GWPs &amp; Fuel EFs'!$D$11</f>
        <v>0</v>
      </c>
      <c r="N197" s="80">
        <f>G197*'GWPs &amp; Fuel EFs'!$M68</f>
        <v>0</v>
      </c>
      <c r="O197" s="80">
        <f>N197*'GWPs &amp; Fuel EFs'!$E$11</f>
        <v>0</v>
      </c>
    </row>
    <row r="198" spans="1:15">
      <c r="A198" s="71"/>
      <c r="B198" s="71"/>
      <c r="D198" s="81" t="s">
        <v>382</v>
      </c>
      <c r="E198" s="82" t="s">
        <v>61</v>
      </c>
      <c r="F198" s="80">
        <f>'EIA Form 923'!T2594-'EIA Form 923'!W2594</f>
        <v>0</v>
      </c>
      <c r="G198" s="80">
        <f>'EIA Form 923'!T2594</f>
        <v>0</v>
      </c>
      <c r="I198" s="80">
        <f>F198*'GWPs &amp; Fuel EFs'!$N13</f>
        <v>0</v>
      </c>
      <c r="K198" s="80">
        <f>G198*'GWPs &amp; Fuel EFs'!$M41</f>
        <v>0</v>
      </c>
      <c r="L198" s="80">
        <f>K198*'GWPs &amp; Fuel EFs'!$D$11</f>
        <v>0</v>
      </c>
      <c r="N198" s="80">
        <f>G198*'GWPs &amp; Fuel EFs'!$M69</f>
        <v>0</v>
      </c>
      <c r="O198" s="80">
        <f>N198*'GWPs &amp; Fuel EFs'!$E$11</f>
        <v>0</v>
      </c>
    </row>
    <row r="199" spans="1:15">
      <c r="A199" s="71"/>
      <c r="B199" s="71"/>
      <c r="D199" s="81" t="s">
        <v>384</v>
      </c>
      <c r="E199" s="82" t="s">
        <v>66</v>
      </c>
      <c r="F199" s="80">
        <f>'EIA Form 923'!T2595-'EIA Form 923'!W2595</f>
        <v>0</v>
      </c>
      <c r="G199" s="80">
        <f>'EIA Form 923'!T2595</f>
        <v>0</v>
      </c>
      <c r="I199" s="80">
        <f>F199*'GWPs &amp; Fuel EFs'!$N14</f>
        <v>0</v>
      </c>
      <c r="K199" s="80">
        <f>G199*'GWPs &amp; Fuel EFs'!$M42</f>
        <v>0</v>
      </c>
      <c r="L199" s="80">
        <f>K199*'GWPs &amp; Fuel EFs'!$D$11</f>
        <v>0</v>
      </c>
      <c r="N199" s="80">
        <f>G199*'GWPs &amp; Fuel EFs'!$M70</f>
        <v>0</v>
      </c>
      <c r="O199" s="80">
        <f>N199*'GWPs &amp; Fuel EFs'!$E$11</f>
        <v>0</v>
      </c>
    </row>
    <row r="200" spans="1:15">
      <c r="A200" s="71"/>
      <c r="B200" s="71"/>
      <c r="D200" s="81" t="s">
        <v>385</v>
      </c>
      <c r="E200" s="82" t="s">
        <v>76</v>
      </c>
      <c r="F200" s="80">
        <f>'EIA Form 923'!T2596-'EIA Form 923'!W2596</f>
        <v>0</v>
      </c>
      <c r="G200" s="80">
        <f>'EIA Form 923'!T2596</f>
        <v>26564</v>
      </c>
      <c r="I200" s="80">
        <f>F200*'GWPs &amp; Fuel EFs'!$N15</f>
        <v>0</v>
      </c>
      <c r="K200" s="80">
        <f>G200*'GWPs &amp; Fuel EFs'!$M43</f>
        <v>175.69078583304</v>
      </c>
      <c r="L200" s="80">
        <f>K200*'GWPs &amp; Fuel EFs'!$D$11</f>
        <v>4392.2696458259998</v>
      </c>
      <c r="N200" s="80">
        <f>G200*'GWPs &amp; Fuel EFs'!$M71</f>
        <v>35.138157166607996</v>
      </c>
      <c r="O200" s="80">
        <f>N200*'GWPs &amp; Fuel EFs'!$E$11</f>
        <v>10471.170835649184</v>
      </c>
    </row>
    <row r="201" spans="1:15">
      <c r="A201" s="71"/>
      <c r="B201" s="71"/>
      <c r="D201" s="81" t="s">
        <v>386</v>
      </c>
      <c r="E201" s="82" t="s">
        <v>73</v>
      </c>
      <c r="F201" s="80">
        <f>'EIA Form 923'!T2597-'EIA Form 923'!W2597</f>
        <v>0</v>
      </c>
      <c r="G201" s="80">
        <f>'EIA Form 923'!T2597</f>
        <v>0</v>
      </c>
      <c r="I201" s="80">
        <f>F201*'GWPs &amp; Fuel EFs'!$N16</f>
        <v>0</v>
      </c>
      <c r="K201" s="80">
        <f>G201*'GWPs &amp; Fuel EFs'!$M44</f>
        <v>0</v>
      </c>
      <c r="L201" s="80">
        <f>K201*'GWPs &amp; Fuel EFs'!$D$11</f>
        <v>0</v>
      </c>
      <c r="N201" s="80">
        <f>G201*'GWPs &amp; Fuel EFs'!$M72</f>
        <v>0</v>
      </c>
      <c r="O201" s="80">
        <f>N201*'GWPs &amp; Fuel EFs'!$E$11</f>
        <v>0</v>
      </c>
    </row>
    <row r="202" spans="1:15">
      <c r="A202" s="71"/>
      <c r="B202" s="71"/>
      <c r="D202" s="81" t="s">
        <v>435</v>
      </c>
      <c r="E202" s="82" t="s">
        <v>426</v>
      </c>
      <c r="F202" s="80">
        <f>'EIA Form 923'!T2598-'EIA Form 923'!W2598</f>
        <v>0</v>
      </c>
      <c r="G202" s="80">
        <f>'EIA Form 923'!T2598</f>
        <v>0</v>
      </c>
      <c r="I202" s="80">
        <f>F202*'GWPs &amp; Fuel EFs'!$N17</f>
        <v>0</v>
      </c>
      <c r="K202" s="80">
        <f>G202*'GWPs &amp; Fuel EFs'!$M45</f>
        <v>0</v>
      </c>
      <c r="L202" s="80">
        <f>K202*'GWPs &amp; Fuel EFs'!$D$11</f>
        <v>0</v>
      </c>
      <c r="N202" s="80">
        <f>G202*'GWPs &amp; Fuel EFs'!$M73</f>
        <v>0</v>
      </c>
      <c r="O202" s="80">
        <f>N202*'GWPs &amp; Fuel EFs'!$E$11</f>
        <v>0</v>
      </c>
    </row>
    <row r="203" spans="1:15">
      <c r="A203" s="71"/>
      <c r="B203" s="71"/>
      <c r="D203" s="81"/>
      <c r="F203" s="80"/>
      <c r="G203" s="80"/>
      <c r="I203" s="83">
        <f>SUM(I190:I202)</f>
        <v>5404850.095761599</v>
      </c>
      <c r="K203" s="80"/>
      <c r="L203" s="83">
        <f>SUM(L190:L202)</f>
        <v>10498.468032005499</v>
      </c>
      <c r="N203" s="80"/>
      <c r="O203" s="83">
        <f>SUM(O190:O202)</f>
        <v>24487.392481239323</v>
      </c>
    </row>
    <row r="204" spans="1:15" ht="13">
      <c r="A204" s="74" t="s">
        <v>220</v>
      </c>
      <c r="B204" s="70">
        <f>I213</f>
        <v>1551004909.8489716</v>
      </c>
      <c r="D204" s="66" t="s">
        <v>221</v>
      </c>
      <c r="F204" s="80"/>
      <c r="G204" s="80"/>
      <c r="I204" s="83"/>
      <c r="K204" s="80"/>
      <c r="L204" s="83"/>
      <c r="N204" s="80"/>
      <c r="O204" s="83"/>
    </row>
    <row r="205" spans="1:15">
      <c r="A205" s="71"/>
      <c r="B205" s="73"/>
      <c r="D205" s="81" t="s">
        <v>388</v>
      </c>
      <c r="E205" s="82" t="s">
        <v>63</v>
      </c>
      <c r="F205" s="594">
        <f>'EIA Form 923'!T2600-'EIA Form 923'!W2600+1077832</f>
        <v>1722079</v>
      </c>
      <c r="G205" s="80">
        <f>'EIA Form 923'!T2600</f>
        <v>644247</v>
      </c>
      <c r="I205" s="80">
        <f>F205*'GWPs &amp; Fuel EFs'!$N20</f>
        <v>197685541.87718084</v>
      </c>
      <c r="K205" s="80">
        <f>G205*'GWPs &amp; Fuel EFs'!$M48</f>
        <v>4545.0288290148483</v>
      </c>
      <c r="L205" s="80">
        <f>K205*'GWPs &amp; Fuel EFs'!$D$11</f>
        <v>113625.72072537121</v>
      </c>
      <c r="N205" s="80">
        <f>G205*'GWPs &amp; Fuel EFs'!$M76</f>
        <v>894.80255071229817</v>
      </c>
      <c r="O205" s="80">
        <f>N205*'GWPs &amp; Fuel EFs'!$E$11</f>
        <v>266651.16011226486</v>
      </c>
    </row>
    <row r="206" spans="1:15">
      <c r="A206" s="71"/>
      <c r="B206" s="71"/>
      <c r="D206" s="81" t="s">
        <v>391</v>
      </c>
      <c r="E206" s="82" t="s">
        <v>16</v>
      </c>
      <c r="F206" s="80">
        <f>'EIA Form 923'!T2601-'EIA Form 923'!W2601</f>
        <v>0</v>
      </c>
      <c r="G206" s="80">
        <f>'EIA Form 923'!T2601</f>
        <v>0</v>
      </c>
      <c r="I206" s="80">
        <f>F206*'GWPs &amp; Fuel EFs'!$N21</f>
        <v>0</v>
      </c>
      <c r="K206" s="80">
        <f>G206*'GWPs &amp; Fuel EFs'!$M49</f>
        <v>0</v>
      </c>
      <c r="L206" s="80">
        <f>K206*'GWPs &amp; Fuel EFs'!$D$11</f>
        <v>0</v>
      </c>
      <c r="N206" s="80">
        <f>G206*'GWPs &amp; Fuel EFs'!$M77</f>
        <v>0</v>
      </c>
      <c r="O206" s="80">
        <f>N206*'GWPs &amp; Fuel EFs'!$E$11</f>
        <v>0</v>
      </c>
    </row>
    <row r="207" spans="1:15">
      <c r="A207" s="71"/>
      <c r="B207" s="71"/>
      <c r="D207" s="81" t="s">
        <v>387</v>
      </c>
      <c r="E207" s="82" t="s">
        <v>154</v>
      </c>
      <c r="F207" s="80">
        <f>'EIA Form 923'!T2602-'EIA Form 923'!W2602</f>
        <v>0</v>
      </c>
      <c r="G207" s="80">
        <f>'EIA Form 923'!T2602</f>
        <v>0</v>
      </c>
      <c r="I207" s="80">
        <f>F207*'GWPs &amp; Fuel EFs'!$N22</f>
        <v>0</v>
      </c>
      <c r="K207" s="80">
        <f>G207*'GWPs &amp; Fuel EFs'!$M50</f>
        <v>0</v>
      </c>
      <c r="L207" s="80">
        <f>K207*'GWPs &amp; Fuel EFs'!$D$11</f>
        <v>0</v>
      </c>
      <c r="N207" s="80">
        <f>G207*'GWPs &amp; Fuel EFs'!$M78</f>
        <v>0</v>
      </c>
      <c r="O207" s="80">
        <f>N207*'GWPs &amp; Fuel EFs'!$E$11</f>
        <v>0</v>
      </c>
    </row>
    <row r="208" spans="1:15">
      <c r="A208" s="71"/>
      <c r="B208" s="71"/>
      <c r="D208" s="81" t="s">
        <v>396</v>
      </c>
      <c r="E208" s="82" t="s">
        <v>69</v>
      </c>
      <c r="F208" s="594">
        <f>'EIA Form 923'!T2603-'EIA Form 923'!W2603+41939+10794</f>
        <v>6544300</v>
      </c>
      <c r="G208" s="80">
        <f>'EIA Form 923'!T2603</f>
        <v>6491567</v>
      </c>
      <c r="I208" s="80">
        <f>F208*'GWPs &amp; Fuel EFs'!$N23</f>
        <v>1353319367.9717908</v>
      </c>
      <c r="K208" s="80">
        <f>G208*'GWPs &amp; Fuel EFs'!$M51</f>
        <v>103042.47922160788</v>
      </c>
      <c r="L208" s="80">
        <f>K208*'GWPs &amp; Fuel EFs'!$D$11</f>
        <v>2576061.9805401969</v>
      </c>
      <c r="N208" s="80">
        <f>G208*'GWPs &amp; Fuel EFs'!$M79</f>
        <v>51521.239610803939</v>
      </c>
      <c r="O208" s="80">
        <f>N208*'GWPs &amp; Fuel EFs'!$E$11</f>
        <v>15353329.404019574</v>
      </c>
    </row>
    <row r="209" spans="1:15">
      <c r="A209" s="71"/>
      <c r="B209" s="72"/>
      <c r="D209" s="81" t="s">
        <v>389</v>
      </c>
      <c r="E209" s="82" t="s">
        <v>155</v>
      </c>
      <c r="F209" s="80">
        <f>'EIA Form 923'!T2604-'EIA Form 923'!W2604</f>
        <v>0</v>
      </c>
      <c r="G209" s="80">
        <f>'EIA Form 923'!T2604</f>
        <v>0</v>
      </c>
      <c r="I209" s="80">
        <f>F209*'GWPs &amp; Fuel EFs'!$N24</f>
        <v>0</v>
      </c>
      <c r="K209" s="80">
        <f>G209*'GWPs &amp; Fuel EFs'!$M52</f>
        <v>0</v>
      </c>
      <c r="L209" s="80">
        <f>K209*'GWPs &amp; Fuel EFs'!$D$11</f>
        <v>0</v>
      </c>
      <c r="N209" s="80">
        <f>G209*'GWPs &amp; Fuel EFs'!$M80</f>
        <v>0</v>
      </c>
      <c r="O209" s="80">
        <f>N209*'GWPs &amp; Fuel EFs'!$E$11</f>
        <v>0</v>
      </c>
    </row>
    <row r="210" spans="1:15">
      <c r="A210" s="71"/>
      <c r="B210" s="72"/>
      <c r="D210" s="81" t="s">
        <v>437</v>
      </c>
      <c r="E210" s="82" t="s">
        <v>419</v>
      </c>
      <c r="F210" s="80">
        <f>'EIA Form 923'!T2605-'EIA Form 923'!W2605</f>
        <v>0</v>
      </c>
      <c r="G210" s="80">
        <f>'EIA Form 923'!T2605</f>
        <v>0</v>
      </c>
      <c r="I210" s="80">
        <f>F210*'GWPs &amp; Fuel EFs'!$N25</f>
        <v>0</v>
      </c>
      <c r="K210" s="80">
        <f>G210*'GWPs &amp; Fuel EFs'!$M53</f>
        <v>0</v>
      </c>
      <c r="L210" s="80">
        <f>K210*'GWPs &amp; Fuel EFs'!$D$11</f>
        <v>0</v>
      </c>
      <c r="N210" s="80">
        <f>G210*'GWPs &amp; Fuel EFs'!$M81</f>
        <v>0</v>
      </c>
      <c r="O210" s="80">
        <f>N210*'GWPs &amp; Fuel EFs'!$E$11</f>
        <v>0</v>
      </c>
    </row>
    <row r="211" spans="1:15">
      <c r="A211" s="71"/>
      <c r="B211" s="72"/>
      <c r="D211" s="81" t="s">
        <v>2508</v>
      </c>
      <c r="E211" s="82" t="s">
        <v>424</v>
      </c>
      <c r="F211" s="80">
        <f>'EIA Form 923'!T2606-'EIA Form 923'!W2606</f>
        <v>0</v>
      </c>
      <c r="G211" s="80">
        <f>'EIA Form 923'!T2606</f>
        <v>0</v>
      </c>
      <c r="H211" s="86"/>
      <c r="I211" s="80">
        <f>F211*'GWPs &amp; Fuel EFs'!$N26</f>
        <v>0</v>
      </c>
      <c r="K211" s="80">
        <f>G211*'GWPs &amp; Fuel EFs'!$M54</f>
        <v>0</v>
      </c>
      <c r="L211" s="80">
        <f>K211*'GWPs &amp; Fuel EFs'!$D$11</f>
        <v>0</v>
      </c>
      <c r="N211" s="80">
        <f>G211*'GWPs &amp; Fuel EFs'!$M82</f>
        <v>0</v>
      </c>
      <c r="O211" s="80">
        <f>N211*'GWPs &amp; Fuel EFs'!$E$11</f>
        <v>0</v>
      </c>
    </row>
    <row r="212" spans="1:15">
      <c r="A212" s="71"/>
      <c r="B212" s="72"/>
      <c r="D212" s="81" t="s">
        <v>436</v>
      </c>
      <c r="E212" s="82" t="s">
        <v>68</v>
      </c>
      <c r="F212" s="80">
        <f>'EIA Form 923'!T2607-'EIA Form 923'!W2607</f>
        <v>0</v>
      </c>
      <c r="G212" s="80">
        <f>'EIA Form 923'!T2607</f>
        <v>0</v>
      </c>
      <c r="I212" s="80">
        <f>F212*'GWPs &amp; Fuel EFs'!$N27</f>
        <v>0</v>
      </c>
      <c r="K212" s="80">
        <f>G212*'GWPs &amp; Fuel EFs'!$M55</f>
        <v>0</v>
      </c>
      <c r="L212" s="80">
        <f>K212*'GWPs &amp; Fuel EFs'!$D$11</f>
        <v>0</v>
      </c>
      <c r="N212" s="80">
        <f>G212*'GWPs &amp; Fuel EFs'!$M83</f>
        <v>0</v>
      </c>
      <c r="O212" s="80">
        <f>N212*'GWPs &amp; Fuel EFs'!$E$11</f>
        <v>0</v>
      </c>
    </row>
    <row r="213" spans="1:15">
      <c r="A213" s="71"/>
      <c r="B213" s="72"/>
      <c r="F213" s="80"/>
      <c r="G213" s="80"/>
      <c r="I213" s="83">
        <f>SUM(I205:I212)</f>
        <v>1551004909.8489716</v>
      </c>
      <c r="L213" s="83">
        <f>SUM(L205:L212)</f>
        <v>2689687.7012655679</v>
      </c>
      <c r="O213" s="83">
        <f>SUM(O205:O212)</f>
        <v>15619980.564131839</v>
      </c>
    </row>
    <row r="214" spans="1:15">
      <c r="A214" s="71"/>
      <c r="B214" s="71"/>
    </row>
    <row r="215" spans="1:15">
      <c r="A215" s="13"/>
      <c r="B215" s="13"/>
      <c r="D215" s="84"/>
      <c r="E215" s="84"/>
      <c r="F215" s="84"/>
      <c r="G215" s="84"/>
      <c r="I215" s="84"/>
      <c r="K215" s="84"/>
      <c r="L215" s="84"/>
      <c r="N215" s="84"/>
      <c r="O215" s="84"/>
    </row>
    <row r="216" spans="1:15" ht="13">
      <c r="A216" s="790" t="s">
        <v>1561</v>
      </c>
      <c r="B216" s="790"/>
      <c r="D216" s="791" t="s">
        <v>228</v>
      </c>
      <c r="E216" s="791"/>
      <c r="F216" s="791"/>
      <c r="G216" s="791"/>
      <c r="I216" s="77" t="s">
        <v>228</v>
      </c>
      <c r="K216" s="791" t="s">
        <v>228</v>
      </c>
      <c r="L216" s="791"/>
      <c r="N216" s="791" t="s">
        <v>228</v>
      </c>
      <c r="O216" s="791"/>
    </row>
    <row r="217" spans="1:15" ht="13">
      <c r="A217" s="790" t="s">
        <v>3713</v>
      </c>
      <c r="B217" s="790"/>
      <c r="D217" s="791" t="s">
        <v>75</v>
      </c>
      <c r="E217" s="791"/>
      <c r="F217" s="791"/>
      <c r="G217" s="791"/>
      <c r="I217" s="77" t="s">
        <v>208</v>
      </c>
      <c r="K217" s="87"/>
      <c r="L217" s="87"/>
      <c r="N217" s="87"/>
      <c r="O217" s="87"/>
    </row>
    <row r="218" spans="1:15" s="12" customFormat="1" ht="76.5" customHeight="1">
      <c r="A218" s="67"/>
      <c r="B218" s="68" t="s">
        <v>333</v>
      </c>
      <c r="D218" s="79" t="s">
        <v>211</v>
      </c>
      <c r="E218" s="79" t="s">
        <v>124</v>
      </c>
      <c r="F218" s="79"/>
      <c r="G218" s="79" t="s">
        <v>1810</v>
      </c>
      <c r="H218" s="28"/>
      <c r="I218" s="66" t="s">
        <v>331</v>
      </c>
      <c r="J218" s="78"/>
      <c r="K218" s="66"/>
      <c r="L218" s="66"/>
      <c r="M218" s="78"/>
      <c r="N218" s="66"/>
      <c r="O218" s="66"/>
    </row>
    <row r="219" spans="1:15" ht="13">
      <c r="A219" s="69" t="s">
        <v>214</v>
      </c>
      <c r="B219" s="70">
        <f>E219*2204622.62</f>
        <v>551155655</v>
      </c>
      <c r="D219" s="66" t="s">
        <v>215</v>
      </c>
      <c r="E219" s="88">
        <v>250</v>
      </c>
      <c r="F219" s="157"/>
      <c r="G219" s="89"/>
      <c r="K219" s="78"/>
      <c r="L219" s="78"/>
      <c r="N219" s="78"/>
      <c r="O219" s="78"/>
    </row>
    <row r="220" spans="1:15" ht="13">
      <c r="A220" s="74" t="s">
        <v>220</v>
      </c>
      <c r="B220" s="70">
        <f>I223</f>
        <v>2895825436.2398849</v>
      </c>
      <c r="D220" s="87" t="s">
        <v>221</v>
      </c>
      <c r="E220" s="107"/>
      <c r="F220" s="89"/>
      <c r="G220" s="107"/>
      <c r="I220" s="80"/>
    </row>
    <row r="221" spans="1:15">
      <c r="A221" s="71"/>
      <c r="B221" s="72"/>
      <c r="D221" s="81" t="s">
        <v>1165</v>
      </c>
      <c r="E221" s="107"/>
      <c r="F221" s="107"/>
      <c r="G221" s="613">
        <v>814935</v>
      </c>
      <c r="I221" s="80">
        <f>G221*'GWPs &amp; Fuel EFs'!J23*'EIA Form 923'!Y2433</f>
        <v>2790343522.6121168</v>
      </c>
      <c r="K221" s="80"/>
      <c r="L221" s="80"/>
      <c r="N221" s="80"/>
      <c r="O221" s="80"/>
    </row>
    <row r="222" spans="1:15">
      <c r="A222" s="71"/>
      <c r="B222" s="72"/>
      <c r="D222" s="81" t="s">
        <v>3357</v>
      </c>
      <c r="E222" s="116"/>
      <c r="F222" s="107"/>
      <c r="G222" s="80">
        <v>78457</v>
      </c>
      <c r="I222" s="80">
        <f>G222*'GWPs &amp; Fuel EFs'!J20*'EIA Form 923'!Y2434</f>
        <v>105481913.6277681</v>
      </c>
      <c r="K222" s="80"/>
      <c r="L222" s="80"/>
      <c r="N222" s="80"/>
      <c r="O222" s="80"/>
    </row>
    <row r="223" spans="1:15">
      <c r="A223" s="71"/>
      <c r="B223" s="72"/>
      <c r="D223" s="81"/>
      <c r="E223" s="107"/>
      <c r="F223" s="107"/>
      <c r="G223" s="89"/>
      <c r="I223" s="83">
        <f>SUM(I221:I222)</f>
        <v>2895825436.2398849</v>
      </c>
      <c r="K223" s="80"/>
      <c r="L223" s="80"/>
      <c r="N223" s="80"/>
      <c r="O223" s="80"/>
    </row>
    <row r="224" spans="1:15">
      <c r="A224" s="71"/>
      <c r="B224" s="71"/>
      <c r="F224" s="90"/>
      <c r="G224" s="90"/>
      <c r="I224" s="80"/>
      <c r="K224" s="80"/>
      <c r="L224" s="80"/>
      <c r="N224" s="80"/>
      <c r="O224" s="80"/>
    </row>
    <row r="225" spans="1:15">
      <c r="A225" s="13"/>
      <c r="B225" s="13"/>
      <c r="D225" s="84"/>
      <c r="E225" s="84"/>
      <c r="F225" s="84"/>
      <c r="G225" s="84"/>
      <c r="I225" s="84"/>
      <c r="K225" s="84"/>
      <c r="L225" s="84"/>
      <c r="N225" s="84"/>
      <c r="O225" s="84"/>
    </row>
    <row r="226" spans="1:15" ht="13">
      <c r="A226" s="790" t="s">
        <v>1562</v>
      </c>
      <c r="B226" s="790"/>
      <c r="D226" s="791" t="s">
        <v>229</v>
      </c>
      <c r="E226" s="791"/>
      <c r="F226" s="791"/>
      <c r="G226" s="791"/>
      <c r="I226" s="77" t="s">
        <v>229</v>
      </c>
      <c r="K226" s="791" t="s">
        <v>229</v>
      </c>
      <c r="L226" s="791"/>
      <c r="N226" s="791" t="s">
        <v>229</v>
      </c>
      <c r="O226" s="791"/>
    </row>
    <row r="227" spans="1:15" ht="13">
      <c r="A227" s="790" t="s">
        <v>3713</v>
      </c>
      <c r="B227" s="790"/>
      <c r="D227" s="791" t="s">
        <v>75</v>
      </c>
      <c r="E227" s="791"/>
      <c r="F227" s="791"/>
      <c r="G227" s="791"/>
      <c r="K227" s="87"/>
      <c r="L227" s="87"/>
      <c r="N227" s="87"/>
      <c r="O227" s="87"/>
    </row>
    <row r="228" spans="1:15" ht="63.75" customHeight="1">
      <c r="A228" s="67"/>
      <c r="B228" s="68" t="s">
        <v>333</v>
      </c>
      <c r="D228" s="79"/>
      <c r="E228" s="79" t="s">
        <v>124</v>
      </c>
      <c r="F228" s="79"/>
      <c r="G228" s="79"/>
      <c r="I228" s="66"/>
      <c r="K228" s="66"/>
      <c r="L228" s="66"/>
      <c r="N228" s="66"/>
      <c r="O228" s="66"/>
    </row>
    <row r="229" spans="1:15" ht="13">
      <c r="A229" s="69" t="s">
        <v>214</v>
      </c>
      <c r="B229" s="70">
        <f>E229*2204622.62</f>
        <v>7473670681.8000002</v>
      </c>
      <c r="D229" s="66" t="s">
        <v>215</v>
      </c>
      <c r="E229" s="88">
        <v>3390</v>
      </c>
      <c r="F229" s="157"/>
      <c r="G229" s="157"/>
      <c r="K229" s="78"/>
      <c r="L229" s="78"/>
      <c r="N229" s="78"/>
      <c r="O229" s="78"/>
    </row>
    <row r="230" spans="1:15" ht="13">
      <c r="A230" s="74" t="s">
        <v>220</v>
      </c>
      <c r="B230" s="70">
        <v>0</v>
      </c>
      <c r="D230" s="87"/>
      <c r="F230" s="80"/>
      <c r="G230" s="80"/>
      <c r="I230" s="80"/>
    </row>
    <row r="231" spans="1:15">
      <c r="A231" s="71"/>
      <c r="B231" s="72"/>
      <c r="H231" s="91"/>
      <c r="I231" s="80"/>
      <c r="K231" s="80"/>
      <c r="L231" s="80"/>
      <c r="N231" s="80"/>
      <c r="O231" s="80"/>
    </row>
    <row r="232" spans="1:15" ht="13">
      <c r="A232" s="69"/>
      <c r="B232" s="76"/>
      <c r="I232" s="83"/>
      <c r="K232" s="80"/>
      <c r="L232" s="83"/>
      <c r="N232" s="80"/>
      <c r="O232" s="83"/>
    </row>
    <row r="233" spans="1:15">
      <c r="A233" s="13"/>
      <c r="B233" s="13"/>
      <c r="D233" s="84"/>
      <c r="E233" s="84"/>
      <c r="F233" s="84"/>
      <c r="G233" s="84"/>
      <c r="I233" s="84"/>
      <c r="K233" s="84"/>
      <c r="L233" s="84"/>
      <c r="N233" s="84"/>
      <c r="O233" s="84"/>
    </row>
    <row r="235" spans="1:15">
      <c r="D235" s="466"/>
    </row>
  </sheetData>
  <mergeCells count="66">
    <mergeCell ref="D216:G216"/>
    <mergeCell ref="N216:O216"/>
    <mergeCell ref="A227:B227"/>
    <mergeCell ref="D227:G227"/>
    <mergeCell ref="A217:B217"/>
    <mergeCell ref="D217:G217"/>
    <mergeCell ref="A226:B226"/>
    <mergeCell ref="D226:G226"/>
    <mergeCell ref="N226:O226"/>
    <mergeCell ref="K216:L216"/>
    <mergeCell ref="K226:L226"/>
    <mergeCell ref="A216:B216"/>
    <mergeCell ref="N157:O157"/>
    <mergeCell ref="N186:O186"/>
    <mergeCell ref="A186:B186"/>
    <mergeCell ref="D186:G186"/>
    <mergeCell ref="A187:B187"/>
    <mergeCell ref="D187:G187"/>
    <mergeCell ref="N187:O187"/>
    <mergeCell ref="A157:B157"/>
    <mergeCell ref="D157:G157"/>
    <mergeCell ref="K157:L157"/>
    <mergeCell ref="K186:L186"/>
    <mergeCell ref="K187:L187"/>
    <mergeCell ref="A156:B156"/>
    <mergeCell ref="D156:G156"/>
    <mergeCell ref="K156:L156"/>
    <mergeCell ref="N126:O126"/>
    <mergeCell ref="N127:O127"/>
    <mergeCell ref="N156:O156"/>
    <mergeCell ref="A126:B126"/>
    <mergeCell ref="D126:G126"/>
    <mergeCell ref="A127:B127"/>
    <mergeCell ref="D127:G127"/>
    <mergeCell ref="K126:L126"/>
    <mergeCell ref="K127:L127"/>
    <mergeCell ref="D66:G66"/>
    <mergeCell ref="N66:O66"/>
    <mergeCell ref="N67:O67"/>
    <mergeCell ref="N96:O96"/>
    <mergeCell ref="A97:B97"/>
    <mergeCell ref="D97:G97"/>
    <mergeCell ref="K97:L97"/>
    <mergeCell ref="N97:O97"/>
    <mergeCell ref="A67:B67"/>
    <mergeCell ref="D67:G67"/>
    <mergeCell ref="K67:L67"/>
    <mergeCell ref="A96:B96"/>
    <mergeCell ref="D96:G96"/>
    <mergeCell ref="K96:L96"/>
    <mergeCell ref="A36:B36"/>
    <mergeCell ref="K36:L36"/>
    <mergeCell ref="K66:L66"/>
    <mergeCell ref="D7:F7"/>
    <mergeCell ref="N6:O6"/>
    <mergeCell ref="N7:O7"/>
    <mergeCell ref="N36:O36"/>
    <mergeCell ref="A6:B6"/>
    <mergeCell ref="A7:B7"/>
    <mergeCell ref="K6:L6"/>
    <mergeCell ref="K7:L7"/>
    <mergeCell ref="D6:F6"/>
    <mergeCell ref="A37:B37"/>
    <mergeCell ref="K37:L37"/>
    <mergeCell ref="N37:O37"/>
    <mergeCell ref="A66:B66"/>
  </mergeCells>
  <pageMargins left="0.7" right="0.7" top="0.75" bottom="0.75" header="0.3" footer="0.3"/>
  <pageSetup scale="42" fitToHeight="0" orientation="landscape" r:id="rId1"/>
  <rowBreaks count="3" manualBreakCount="3">
    <brk id="65" max="16383" man="1"/>
    <brk id="125" max="16383" man="1"/>
    <brk id="185"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filterMode="1">
    <tabColor theme="7" tint="0.79998168889431442"/>
    <pageSetUpPr fitToPage="1"/>
  </sheetPr>
  <dimension ref="A1:AC2614"/>
  <sheetViews>
    <sheetView zoomScale="109" zoomScaleNormal="73" workbookViewId="0"/>
  </sheetViews>
  <sheetFormatPr defaultColWidth="11.1796875" defaultRowHeight="12.5"/>
  <cols>
    <col min="2" max="2" width="6.54296875" customWidth="1"/>
    <col min="3" max="3" width="6.1796875" customWidth="1"/>
    <col min="4" max="4" width="23.26953125" customWidth="1"/>
    <col min="5" max="5" width="23.7265625" customWidth="1"/>
    <col min="6" max="11" width="11.1796875" customWidth="1"/>
    <col min="12" max="12" width="20.453125" customWidth="1"/>
    <col min="13" max="13" width="10.81640625" customWidth="1"/>
    <col min="17" max="18" width="11.1796875" style="1"/>
    <col min="19" max="19" width="12.54296875" style="1" customWidth="1"/>
    <col min="20" max="20" width="13.1796875" style="1" customWidth="1"/>
    <col min="21" max="21" width="11.1796875" style="1"/>
    <col min="27" max="27" width="11.1796875" style="15"/>
  </cols>
  <sheetData>
    <row r="1" spans="1:28" s="658" customFormat="1" ht="16" customHeight="1">
      <c r="A1" s="608" t="s">
        <v>1174</v>
      </c>
      <c r="W1" s="670"/>
      <c r="X1" s="608"/>
      <c r="Y1" s="671"/>
    </row>
    <row r="2" spans="1:28" s="658" customFormat="1" ht="16" customHeight="1">
      <c r="A2" s="608" t="s">
        <v>3630</v>
      </c>
      <c r="W2" s="670"/>
      <c r="X2" s="608"/>
      <c r="Y2" s="22" t="s">
        <v>50</v>
      </c>
    </row>
    <row r="3" spans="1:28" s="658" customFormat="1" ht="16" customHeight="1">
      <c r="A3" s="608" t="s">
        <v>1175</v>
      </c>
      <c r="W3" s="670"/>
      <c r="X3" s="608"/>
      <c r="Y3" s="22" t="s">
        <v>39</v>
      </c>
    </row>
    <row r="4" spans="1:28" s="22" customFormat="1" ht="15.5">
      <c r="A4" s="642" t="s">
        <v>3631</v>
      </c>
      <c r="B4" s="128"/>
      <c r="C4" s="128"/>
      <c r="D4" s="128"/>
      <c r="E4" s="605" t="s">
        <v>2284</v>
      </c>
      <c r="F4" s="128"/>
      <c r="G4" s="128"/>
      <c r="H4" s="128"/>
      <c r="I4" s="128"/>
      <c r="J4" s="128"/>
      <c r="K4" s="128"/>
      <c r="L4" s="128"/>
      <c r="M4" s="128"/>
      <c r="N4" s="128"/>
      <c r="O4" s="128"/>
      <c r="P4" s="128"/>
      <c r="Q4" s="128"/>
      <c r="R4" s="128"/>
      <c r="S4" s="128"/>
      <c r="T4" s="128"/>
      <c r="U4" s="128"/>
      <c r="V4" s="128"/>
      <c r="W4" s="643"/>
      <c r="Y4" s="22" t="s">
        <v>46</v>
      </c>
      <c r="AA4" s="15"/>
    </row>
    <row r="5" spans="1:28" s="21" customFormat="1" ht="13">
      <c r="A5" s="792" t="s">
        <v>1176</v>
      </c>
      <c r="B5" s="793"/>
      <c r="C5" s="793"/>
      <c r="D5" s="793"/>
      <c r="E5" s="793"/>
      <c r="F5" s="793"/>
      <c r="G5" s="793"/>
      <c r="H5" s="793"/>
      <c r="I5" s="793"/>
      <c r="J5" s="793"/>
      <c r="K5" s="793"/>
      <c r="L5" s="793"/>
      <c r="M5" s="793"/>
      <c r="N5" s="793"/>
      <c r="O5" s="793"/>
      <c r="P5" s="794"/>
      <c r="Q5" s="792" t="s">
        <v>1177</v>
      </c>
      <c r="R5" s="793"/>
      <c r="S5" s="793"/>
      <c r="T5" s="793"/>
      <c r="U5" s="794"/>
      <c r="V5" s="129" t="s">
        <v>1176</v>
      </c>
      <c r="W5" s="20"/>
      <c r="X5" s="20"/>
      <c r="Y5" s="20"/>
      <c r="Z5" s="20"/>
      <c r="AA5" s="15"/>
    </row>
    <row r="6" spans="1:28" s="29" customFormat="1" ht="78">
      <c r="A6" s="129" t="s">
        <v>1178</v>
      </c>
      <c r="B6" s="129" t="s">
        <v>1813</v>
      </c>
      <c r="C6" s="129" t="s">
        <v>1179</v>
      </c>
      <c r="D6" s="129" t="s">
        <v>557</v>
      </c>
      <c r="E6" s="129" t="s">
        <v>140</v>
      </c>
      <c r="F6" s="129" t="s">
        <v>1180</v>
      </c>
      <c r="G6" s="129" t="s">
        <v>1814</v>
      </c>
      <c r="H6" s="129" t="s">
        <v>141</v>
      </c>
      <c r="I6" s="129" t="s">
        <v>142</v>
      </c>
      <c r="J6" s="129" t="s">
        <v>143</v>
      </c>
      <c r="K6" s="129" t="s">
        <v>144</v>
      </c>
      <c r="L6" s="129" t="s">
        <v>145</v>
      </c>
      <c r="M6" s="129" t="s">
        <v>1815</v>
      </c>
      <c r="N6" s="129" t="s">
        <v>1816</v>
      </c>
      <c r="O6" s="129" t="s">
        <v>1817</v>
      </c>
      <c r="P6" s="129" t="s">
        <v>1818</v>
      </c>
      <c r="Q6" s="130" t="s">
        <v>1819</v>
      </c>
      <c r="R6" s="130" t="s">
        <v>1820</v>
      </c>
      <c r="S6" s="130" t="s">
        <v>1821</v>
      </c>
      <c r="T6" s="130" t="s">
        <v>1822</v>
      </c>
      <c r="U6" s="130" t="s">
        <v>1823</v>
      </c>
      <c r="V6" s="129" t="s">
        <v>1181</v>
      </c>
      <c r="W6" s="158" t="s">
        <v>2514</v>
      </c>
      <c r="X6" s="120" t="s">
        <v>1405</v>
      </c>
      <c r="Y6" s="61" t="s">
        <v>1286</v>
      </c>
      <c r="Z6" s="61" t="s">
        <v>1287</v>
      </c>
      <c r="AA6" s="15"/>
      <c r="AB6" s="49"/>
    </row>
    <row r="7" spans="1:28" s="128" customFormat="1" hidden="1">
      <c r="A7" s="655">
        <v>88</v>
      </c>
      <c r="B7" s="656" t="s">
        <v>33</v>
      </c>
      <c r="C7" s="655" t="s">
        <v>2793</v>
      </c>
      <c r="D7" s="656" t="s">
        <v>558</v>
      </c>
      <c r="E7" s="656" t="s">
        <v>56</v>
      </c>
      <c r="F7" s="655">
        <v>15296</v>
      </c>
      <c r="G7" s="656" t="s">
        <v>57</v>
      </c>
      <c r="H7" s="656" t="s">
        <v>1182</v>
      </c>
      <c r="I7" s="656" t="s">
        <v>58</v>
      </c>
      <c r="J7" s="655">
        <v>22</v>
      </c>
      <c r="K7" s="655">
        <v>1</v>
      </c>
      <c r="L7" s="656" t="s">
        <v>34</v>
      </c>
      <c r="M7" s="656" t="s">
        <v>35</v>
      </c>
      <c r="N7" s="656" t="s">
        <v>36</v>
      </c>
      <c r="O7" s="656" t="s">
        <v>37</v>
      </c>
      <c r="P7" s="656" t="s">
        <v>1176</v>
      </c>
      <c r="Q7" s="657">
        <v>0</v>
      </c>
      <c r="R7" s="657">
        <v>0</v>
      </c>
      <c r="S7" s="657">
        <v>62820</v>
      </c>
      <c r="T7" s="657">
        <v>62820</v>
      </c>
      <c r="U7" s="657">
        <v>7104</v>
      </c>
      <c r="V7" s="655">
        <v>2021</v>
      </c>
      <c r="W7" s="659"/>
      <c r="X7" s="660">
        <f>IF(OR(K7&gt;3,T7=0,NOT(U7&gt;0)),"",T7/U7)</f>
        <v>8.8429054054054053</v>
      </c>
      <c r="Y7" s="661" t="str">
        <f t="shared" ref="Y7:Y70" si="0">IF(AND($M7=$Y$2,$N7=$Y$3,NOT($Q7=$R7),NOT($U7=0)),IF($K7=5,$S7/($U7+(8/5)*$U7),IF($K7=7,$S7/($U7+(29/25)*$U7),"")),"")</f>
        <v/>
      </c>
      <c r="Z7" s="661" t="str">
        <f t="shared" ref="Z7:Z70" si="1">IF(AND($M7=$Y$2,$N7=$Y$4,NOT($Q7=$R7),NOT($U7=0)),IF($K7=5,$S7/($U7+(8/5)*$U7),IF($K7=7,$S7/($U7+(29/25)*$U7),"")),"")</f>
        <v/>
      </c>
    </row>
    <row r="8" spans="1:28" s="128" customFormat="1" ht="25" hidden="1">
      <c r="A8" s="655">
        <v>539</v>
      </c>
      <c r="B8" s="656" t="s">
        <v>33</v>
      </c>
      <c r="C8" s="655" t="s">
        <v>2793</v>
      </c>
      <c r="D8" s="656" t="s">
        <v>1564</v>
      </c>
      <c r="E8" s="656" t="s">
        <v>74</v>
      </c>
      <c r="F8" s="655">
        <v>54895</v>
      </c>
      <c r="G8" s="656" t="s">
        <v>41</v>
      </c>
      <c r="H8" s="656" t="s">
        <v>1183</v>
      </c>
      <c r="I8" s="656" t="s">
        <v>58</v>
      </c>
      <c r="J8" s="655">
        <v>22</v>
      </c>
      <c r="K8" s="655">
        <v>2</v>
      </c>
      <c r="L8" s="656" t="s">
        <v>52</v>
      </c>
      <c r="M8" s="656" t="s">
        <v>59</v>
      </c>
      <c r="N8" s="656" t="s">
        <v>36</v>
      </c>
      <c r="O8" s="656" t="s">
        <v>60</v>
      </c>
      <c r="P8" s="656" t="s">
        <v>2794</v>
      </c>
      <c r="Q8" s="657">
        <v>17908</v>
      </c>
      <c r="R8" s="657">
        <v>17908</v>
      </c>
      <c r="S8" s="657">
        <v>0</v>
      </c>
      <c r="T8" s="657">
        <v>0</v>
      </c>
      <c r="U8" s="657">
        <v>433</v>
      </c>
      <c r="V8" s="655">
        <v>2021</v>
      </c>
      <c r="W8" s="659"/>
      <c r="X8" s="660" t="str">
        <f t="shared" ref="X8:X71" si="2">IF(OR(K8&gt;3,T8=0,NOT(U8&gt;0)),"",T8/U8)</f>
        <v/>
      </c>
      <c r="Y8" s="661" t="str">
        <f t="shared" si="0"/>
        <v/>
      </c>
      <c r="Z8" s="661" t="str">
        <f t="shared" si="1"/>
        <v/>
      </c>
    </row>
    <row r="9" spans="1:28" s="128" customFormat="1" hidden="1">
      <c r="A9" s="655">
        <v>540</v>
      </c>
      <c r="B9" s="656" t="s">
        <v>33</v>
      </c>
      <c r="C9" s="655" t="s">
        <v>2793</v>
      </c>
      <c r="D9" s="656" t="s">
        <v>559</v>
      </c>
      <c r="E9" s="656" t="s">
        <v>560</v>
      </c>
      <c r="F9" s="655">
        <v>22379</v>
      </c>
      <c r="G9" s="656" t="s">
        <v>41</v>
      </c>
      <c r="H9" s="656" t="s">
        <v>1183</v>
      </c>
      <c r="I9" s="656" t="s">
        <v>58</v>
      </c>
      <c r="J9" s="655">
        <v>22</v>
      </c>
      <c r="K9" s="655">
        <v>2</v>
      </c>
      <c r="L9" s="656" t="s">
        <v>52</v>
      </c>
      <c r="M9" s="656" t="s">
        <v>50</v>
      </c>
      <c r="N9" s="656" t="s">
        <v>66</v>
      </c>
      <c r="O9" s="656" t="s">
        <v>67</v>
      </c>
      <c r="P9" s="656" t="s">
        <v>47</v>
      </c>
      <c r="Q9" s="657">
        <v>0</v>
      </c>
      <c r="R9" s="657">
        <v>0</v>
      </c>
      <c r="S9" s="657">
        <v>0</v>
      </c>
      <c r="T9" s="657">
        <v>0</v>
      </c>
      <c r="U9" s="657">
        <v>0</v>
      </c>
      <c r="V9" s="655">
        <v>2021</v>
      </c>
      <c r="W9" s="659"/>
      <c r="X9" s="660" t="str">
        <f t="shared" si="2"/>
        <v/>
      </c>
      <c r="Y9" s="661" t="str">
        <f t="shared" si="0"/>
        <v/>
      </c>
      <c r="Z9" s="661" t="str">
        <f t="shared" si="1"/>
        <v/>
      </c>
    </row>
    <row r="10" spans="1:28" s="128" customFormat="1" hidden="1">
      <c r="A10" s="655">
        <v>540</v>
      </c>
      <c r="B10" s="656" t="s">
        <v>33</v>
      </c>
      <c r="C10" s="655" t="s">
        <v>2793</v>
      </c>
      <c r="D10" s="656" t="s">
        <v>559</v>
      </c>
      <c r="E10" s="656" t="s">
        <v>560</v>
      </c>
      <c r="F10" s="655">
        <v>22379</v>
      </c>
      <c r="G10" s="656" t="s">
        <v>41</v>
      </c>
      <c r="H10" s="656" t="s">
        <v>1183</v>
      </c>
      <c r="I10" s="656" t="s">
        <v>58</v>
      </c>
      <c r="J10" s="655">
        <v>22</v>
      </c>
      <c r="K10" s="655">
        <v>2</v>
      </c>
      <c r="L10" s="656" t="s">
        <v>52</v>
      </c>
      <c r="M10" s="656" t="s">
        <v>50</v>
      </c>
      <c r="N10" s="656" t="s">
        <v>76</v>
      </c>
      <c r="O10" s="656" t="s">
        <v>67</v>
      </c>
      <c r="P10" s="656" t="s">
        <v>47</v>
      </c>
      <c r="Q10" s="657">
        <v>731</v>
      </c>
      <c r="R10" s="657">
        <v>731</v>
      </c>
      <c r="S10" s="657">
        <v>4305</v>
      </c>
      <c r="T10" s="657">
        <v>4305</v>
      </c>
      <c r="U10" s="657">
        <v>259</v>
      </c>
      <c r="V10" s="655">
        <v>2021</v>
      </c>
      <c r="W10" s="659"/>
      <c r="X10" s="660">
        <f t="shared" si="2"/>
        <v>16.621621621621621</v>
      </c>
      <c r="Y10" s="661" t="str">
        <f t="shared" si="0"/>
        <v/>
      </c>
      <c r="Z10" s="661" t="str">
        <f t="shared" si="1"/>
        <v/>
      </c>
    </row>
    <row r="11" spans="1:28" s="128" customFormat="1" ht="25" hidden="1">
      <c r="A11" s="655">
        <v>541</v>
      </c>
      <c r="B11" s="656" t="s">
        <v>33</v>
      </c>
      <c r="C11" s="655" t="s">
        <v>2793</v>
      </c>
      <c r="D11" s="656" t="s">
        <v>561</v>
      </c>
      <c r="E11" s="656" t="s">
        <v>74</v>
      </c>
      <c r="F11" s="655">
        <v>54895</v>
      </c>
      <c r="G11" s="656" t="s">
        <v>41</v>
      </c>
      <c r="H11" s="656" t="s">
        <v>1183</v>
      </c>
      <c r="I11" s="656" t="s">
        <v>58</v>
      </c>
      <c r="J11" s="655">
        <v>22</v>
      </c>
      <c r="K11" s="655">
        <v>2</v>
      </c>
      <c r="L11" s="656" t="s">
        <v>52</v>
      </c>
      <c r="M11" s="656" t="s">
        <v>35</v>
      </c>
      <c r="N11" s="656" t="s">
        <v>36</v>
      </c>
      <c r="O11" s="656" t="s">
        <v>37</v>
      </c>
      <c r="P11" s="656" t="s">
        <v>1176</v>
      </c>
      <c r="Q11" s="657">
        <v>0</v>
      </c>
      <c r="R11" s="657">
        <v>0</v>
      </c>
      <c r="S11" s="657">
        <v>345672</v>
      </c>
      <c r="T11" s="657">
        <v>345672</v>
      </c>
      <c r="U11" s="657">
        <v>39090</v>
      </c>
      <c r="V11" s="655">
        <v>2021</v>
      </c>
      <c r="W11" s="659"/>
      <c r="X11" s="660">
        <f t="shared" si="2"/>
        <v>8.8429777436684578</v>
      </c>
      <c r="Y11" s="661" t="str">
        <f t="shared" si="0"/>
        <v/>
      </c>
      <c r="Z11" s="661" t="str">
        <f t="shared" si="1"/>
        <v/>
      </c>
    </row>
    <row r="12" spans="1:28" s="128" customFormat="1" hidden="1">
      <c r="A12" s="655">
        <v>542</v>
      </c>
      <c r="B12" s="656" t="s">
        <v>33</v>
      </c>
      <c r="C12" s="655" t="s">
        <v>2793</v>
      </c>
      <c r="D12" s="656" t="s">
        <v>562</v>
      </c>
      <c r="E12" s="656" t="s">
        <v>560</v>
      </c>
      <c r="F12" s="655">
        <v>22379</v>
      </c>
      <c r="G12" s="656" t="s">
        <v>41</v>
      </c>
      <c r="H12" s="656" t="s">
        <v>1183</v>
      </c>
      <c r="I12" s="656" t="s">
        <v>58</v>
      </c>
      <c r="J12" s="655">
        <v>22</v>
      </c>
      <c r="K12" s="655">
        <v>2</v>
      </c>
      <c r="L12" s="656" t="s">
        <v>52</v>
      </c>
      <c r="M12" s="656" t="s">
        <v>50</v>
      </c>
      <c r="N12" s="656" t="s">
        <v>66</v>
      </c>
      <c r="O12" s="656" t="s">
        <v>67</v>
      </c>
      <c r="P12" s="656" t="s">
        <v>47</v>
      </c>
      <c r="Q12" s="657">
        <v>0</v>
      </c>
      <c r="R12" s="657">
        <v>0</v>
      </c>
      <c r="S12" s="657">
        <v>0</v>
      </c>
      <c r="T12" s="657">
        <v>0</v>
      </c>
      <c r="U12" s="657">
        <v>0</v>
      </c>
      <c r="V12" s="655">
        <v>2021</v>
      </c>
      <c r="W12" s="659"/>
      <c r="X12" s="660" t="str">
        <f t="shared" si="2"/>
        <v/>
      </c>
      <c r="Y12" s="661" t="str">
        <f t="shared" si="0"/>
        <v/>
      </c>
      <c r="Z12" s="661" t="str">
        <f t="shared" si="1"/>
        <v/>
      </c>
    </row>
    <row r="13" spans="1:28" s="128" customFormat="1" hidden="1">
      <c r="A13" s="655">
        <v>542</v>
      </c>
      <c r="B13" s="656" t="s">
        <v>33</v>
      </c>
      <c r="C13" s="655" t="s">
        <v>2793</v>
      </c>
      <c r="D13" s="656" t="s">
        <v>562</v>
      </c>
      <c r="E13" s="656" t="s">
        <v>560</v>
      </c>
      <c r="F13" s="655">
        <v>22379</v>
      </c>
      <c r="G13" s="656" t="s">
        <v>41</v>
      </c>
      <c r="H13" s="656" t="s">
        <v>1183</v>
      </c>
      <c r="I13" s="656" t="s">
        <v>58</v>
      </c>
      <c r="J13" s="655">
        <v>22</v>
      </c>
      <c r="K13" s="655">
        <v>2</v>
      </c>
      <c r="L13" s="656" t="s">
        <v>52</v>
      </c>
      <c r="M13" s="656" t="s">
        <v>50</v>
      </c>
      <c r="N13" s="656" t="s">
        <v>76</v>
      </c>
      <c r="O13" s="656" t="s">
        <v>67</v>
      </c>
      <c r="P13" s="656" t="s">
        <v>47</v>
      </c>
      <c r="Q13" s="657">
        <v>2760</v>
      </c>
      <c r="R13" s="657">
        <v>2760</v>
      </c>
      <c r="S13" s="657">
        <v>16257</v>
      </c>
      <c r="T13" s="657">
        <v>16257</v>
      </c>
      <c r="U13" s="657">
        <v>903</v>
      </c>
      <c r="V13" s="655">
        <v>2021</v>
      </c>
      <c r="W13" s="659"/>
      <c r="X13" s="660">
        <f t="shared" si="2"/>
        <v>18.003322259136212</v>
      </c>
      <c r="Y13" s="661" t="str">
        <f t="shared" si="0"/>
        <v/>
      </c>
      <c r="Z13" s="661" t="str">
        <f t="shared" si="1"/>
        <v/>
      </c>
    </row>
    <row r="14" spans="1:28" s="128" customFormat="1" hidden="1">
      <c r="A14" s="655">
        <v>544</v>
      </c>
      <c r="B14" s="656" t="s">
        <v>33</v>
      </c>
      <c r="C14" s="655" t="s">
        <v>2793</v>
      </c>
      <c r="D14" s="656" t="s">
        <v>77</v>
      </c>
      <c r="E14" s="656" t="s">
        <v>443</v>
      </c>
      <c r="F14" s="655">
        <v>22350</v>
      </c>
      <c r="G14" s="656" t="s">
        <v>41</v>
      </c>
      <c r="H14" s="656" t="s">
        <v>1183</v>
      </c>
      <c r="I14" s="656" t="s">
        <v>58</v>
      </c>
      <c r="J14" s="655">
        <v>22</v>
      </c>
      <c r="K14" s="655">
        <v>2</v>
      </c>
      <c r="L14" s="656" t="s">
        <v>52</v>
      </c>
      <c r="M14" s="656" t="s">
        <v>50</v>
      </c>
      <c r="N14" s="656" t="s">
        <v>46</v>
      </c>
      <c r="O14" s="656" t="s">
        <v>46</v>
      </c>
      <c r="P14" s="656" t="s">
        <v>47</v>
      </c>
      <c r="Q14" s="657">
        <v>0</v>
      </c>
      <c r="R14" s="657">
        <v>0</v>
      </c>
      <c r="S14" s="657">
        <v>0</v>
      </c>
      <c r="T14" s="657">
        <v>0</v>
      </c>
      <c r="U14" s="657">
        <v>0</v>
      </c>
      <c r="V14" s="655">
        <v>2021</v>
      </c>
      <c r="W14" s="659" t="s">
        <v>3675</v>
      </c>
      <c r="X14" s="660" t="str">
        <f t="shared" si="2"/>
        <v/>
      </c>
      <c r="Y14" s="661" t="str">
        <f t="shared" si="0"/>
        <v/>
      </c>
      <c r="Z14" s="661" t="str">
        <f t="shared" si="1"/>
        <v/>
      </c>
    </row>
    <row r="15" spans="1:28" s="128" customFormat="1" hidden="1">
      <c r="A15" s="655">
        <v>544</v>
      </c>
      <c r="B15" s="656" t="s">
        <v>33</v>
      </c>
      <c r="C15" s="655" t="s">
        <v>2793</v>
      </c>
      <c r="D15" s="656" t="s">
        <v>77</v>
      </c>
      <c r="E15" s="656" t="s">
        <v>443</v>
      </c>
      <c r="F15" s="655">
        <v>22350</v>
      </c>
      <c r="G15" s="656" t="s">
        <v>41</v>
      </c>
      <c r="H15" s="656" t="s">
        <v>1183</v>
      </c>
      <c r="I15" s="656" t="s">
        <v>58</v>
      </c>
      <c r="J15" s="655">
        <v>22</v>
      </c>
      <c r="K15" s="655">
        <v>2</v>
      </c>
      <c r="L15" s="656" t="s">
        <v>52</v>
      </c>
      <c r="M15" s="656" t="s">
        <v>50</v>
      </c>
      <c r="N15" s="656" t="s">
        <v>66</v>
      </c>
      <c r="O15" s="656" t="s">
        <v>67</v>
      </c>
      <c r="P15" s="656" t="s">
        <v>47</v>
      </c>
      <c r="Q15" s="657">
        <v>0</v>
      </c>
      <c r="R15" s="657">
        <v>0</v>
      </c>
      <c r="S15" s="657">
        <v>0</v>
      </c>
      <c r="T15" s="657">
        <v>0</v>
      </c>
      <c r="U15" s="657">
        <v>0</v>
      </c>
      <c r="V15" s="655">
        <v>2021</v>
      </c>
      <c r="W15" s="659" t="s">
        <v>3675</v>
      </c>
      <c r="X15" s="660" t="str">
        <f t="shared" si="2"/>
        <v/>
      </c>
      <c r="Y15" s="661" t="str">
        <f t="shared" si="0"/>
        <v/>
      </c>
      <c r="Z15" s="661" t="str">
        <f t="shared" si="1"/>
        <v/>
      </c>
    </row>
    <row r="16" spans="1:28" s="128" customFormat="1" hidden="1">
      <c r="A16" s="655">
        <v>544</v>
      </c>
      <c r="B16" s="656" t="s">
        <v>33</v>
      </c>
      <c r="C16" s="655" t="s">
        <v>2793</v>
      </c>
      <c r="D16" s="656" t="s">
        <v>77</v>
      </c>
      <c r="E16" s="656" t="s">
        <v>443</v>
      </c>
      <c r="F16" s="655">
        <v>22350</v>
      </c>
      <c r="G16" s="656" t="s">
        <v>41</v>
      </c>
      <c r="H16" s="656" t="s">
        <v>1183</v>
      </c>
      <c r="I16" s="656" t="s">
        <v>58</v>
      </c>
      <c r="J16" s="655">
        <v>22</v>
      </c>
      <c r="K16" s="655">
        <v>2</v>
      </c>
      <c r="L16" s="656" t="s">
        <v>52</v>
      </c>
      <c r="M16" s="656" t="s">
        <v>50</v>
      </c>
      <c r="N16" s="656" t="s">
        <v>76</v>
      </c>
      <c r="O16" s="656" t="s">
        <v>67</v>
      </c>
      <c r="P16" s="656" t="s">
        <v>47</v>
      </c>
      <c r="Q16" s="657">
        <v>3854</v>
      </c>
      <c r="R16" s="657">
        <v>3854</v>
      </c>
      <c r="S16" s="657">
        <v>22699</v>
      </c>
      <c r="T16" s="657">
        <v>22699</v>
      </c>
      <c r="U16" s="657">
        <v>-1190</v>
      </c>
      <c r="V16" s="655">
        <v>2021</v>
      </c>
      <c r="W16" s="659" t="s">
        <v>3675</v>
      </c>
      <c r="X16" s="660" t="str">
        <f t="shared" si="2"/>
        <v/>
      </c>
      <c r="Y16" s="661" t="str">
        <f t="shared" si="0"/>
        <v/>
      </c>
      <c r="Z16" s="661" t="str">
        <f t="shared" si="1"/>
        <v/>
      </c>
    </row>
    <row r="17" spans="1:26" s="128" customFormat="1" hidden="1">
      <c r="A17" s="655">
        <v>544</v>
      </c>
      <c r="B17" s="656" t="s">
        <v>33</v>
      </c>
      <c r="C17" s="655" t="s">
        <v>2793</v>
      </c>
      <c r="D17" s="656" t="s">
        <v>77</v>
      </c>
      <c r="E17" s="656" t="s">
        <v>443</v>
      </c>
      <c r="F17" s="655">
        <v>22350</v>
      </c>
      <c r="G17" s="656" t="s">
        <v>41</v>
      </c>
      <c r="H17" s="656" t="s">
        <v>1183</v>
      </c>
      <c r="I17" s="656" t="s">
        <v>58</v>
      </c>
      <c r="J17" s="655">
        <v>22</v>
      </c>
      <c r="K17" s="655">
        <v>2</v>
      </c>
      <c r="L17" s="656" t="s">
        <v>52</v>
      </c>
      <c r="M17" s="656" t="s">
        <v>50</v>
      </c>
      <c r="N17" s="656" t="s">
        <v>39</v>
      </c>
      <c r="O17" s="656" t="s">
        <v>39</v>
      </c>
      <c r="P17" s="656" t="s">
        <v>1037</v>
      </c>
      <c r="Q17" s="657">
        <v>0</v>
      </c>
      <c r="R17" s="657">
        <v>0</v>
      </c>
      <c r="S17" s="657">
        <v>0</v>
      </c>
      <c r="T17" s="657">
        <v>0</v>
      </c>
      <c r="U17" s="657">
        <v>0</v>
      </c>
      <c r="V17" s="655">
        <v>2021</v>
      </c>
      <c r="W17" s="659" t="s">
        <v>3675</v>
      </c>
      <c r="X17" s="660" t="str">
        <f t="shared" si="2"/>
        <v/>
      </c>
      <c r="Y17" s="661" t="str">
        <f t="shared" si="0"/>
        <v/>
      </c>
      <c r="Z17" s="661" t="str">
        <f t="shared" si="1"/>
        <v/>
      </c>
    </row>
    <row r="18" spans="1:26" s="128" customFormat="1" hidden="1">
      <c r="A18" s="655">
        <v>544</v>
      </c>
      <c r="B18" s="656" t="s">
        <v>33</v>
      </c>
      <c r="C18" s="655" t="s">
        <v>2793</v>
      </c>
      <c r="D18" s="656" t="s">
        <v>77</v>
      </c>
      <c r="E18" s="656" t="s">
        <v>443</v>
      </c>
      <c r="F18" s="655">
        <v>22350</v>
      </c>
      <c r="G18" s="656" t="s">
        <v>41</v>
      </c>
      <c r="H18" s="656" t="s">
        <v>1183</v>
      </c>
      <c r="I18" s="656" t="s">
        <v>58</v>
      </c>
      <c r="J18" s="655">
        <v>22</v>
      </c>
      <c r="K18" s="655">
        <v>2</v>
      </c>
      <c r="L18" s="656" t="s">
        <v>52</v>
      </c>
      <c r="M18" s="656" t="s">
        <v>50</v>
      </c>
      <c r="N18" s="656" t="s">
        <v>61</v>
      </c>
      <c r="O18" s="656" t="s">
        <v>61</v>
      </c>
      <c r="P18" s="656" t="s">
        <v>47</v>
      </c>
      <c r="Q18" s="657">
        <v>0</v>
      </c>
      <c r="R18" s="657">
        <v>0</v>
      </c>
      <c r="S18" s="657">
        <v>0</v>
      </c>
      <c r="T18" s="657">
        <v>0</v>
      </c>
      <c r="U18" s="657">
        <v>0</v>
      </c>
      <c r="V18" s="655">
        <v>2021</v>
      </c>
      <c r="W18" s="659" t="s">
        <v>3675</v>
      </c>
      <c r="X18" s="660" t="str">
        <f t="shared" si="2"/>
        <v/>
      </c>
      <c r="Y18" s="661" t="str">
        <f t="shared" si="0"/>
        <v/>
      </c>
      <c r="Z18" s="661" t="str">
        <f t="shared" si="1"/>
        <v/>
      </c>
    </row>
    <row r="19" spans="1:26" s="128" customFormat="1" ht="25" hidden="1">
      <c r="A19" s="655">
        <v>546</v>
      </c>
      <c r="B19" s="656" t="s">
        <v>33</v>
      </c>
      <c r="C19" s="655" t="s">
        <v>2793</v>
      </c>
      <c r="D19" s="656" t="s">
        <v>78</v>
      </c>
      <c r="E19" s="656" t="s">
        <v>79</v>
      </c>
      <c r="F19" s="655">
        <v>22380</v>
      </c>
      <c r="G19" s="656" t="s">
        <v>41</v>
      </c>
      <c r="H19" s="656" t="s">
        <v>1183</v>
      </c>
      <c r="I19" s="656" t="s">
        <v>58</v>
      </c>
      <c r="J19" s="655">
        <v>22</v>
      </c>
      <c r="K19" s="655">
        <v>2</v>
      </c>
      <c r="L19" s="656" t="s">
        <v>52</v>
      </c>
      <c r="M19" s="656" t="s">
        <v>51</v>
      </c>
      <c r="N19" s="656" t="s">
        <v>46</v>
      </c>
      <c r="O19" s="656" t="s">
        <v>46</v>
      </c>
      <c r="P19" s="656" t="s">
        <v>47</v>
      </c>
      <c r="Q19" s="657">
        <v>58</v>
      </c>
      <c r="R19" s="657">
        <v>58</v>
      </c>
      <c r="S19" s="657">
        <v>336</v>
      </c>
      <c r="T19" s="657">
        <v>336</v>
      </c>
      <c r="U19" s="657">
        <v>23</v>
      </c>
      <c r="V19" s="655">
        <v>2021</v>
      </c>
      <c r="W19" s="659"/>
      <c r="X19" s="660">
        <f t="shared" si="2"/>
        <v>14.608695652173912</v>
      </c>
      <c r="Y19" s="661" t="str">
        <f t="shared" si="0"/>
        <v/>
      </c>
      <c r="Z19" s="661" t="str">
        <f t="shared" si="1"/>
        <v/>
      </c>
    </row>
    <row r="20" spans="1:26" s="128" customFormat="1" ht="25" hidden="1">
      <c r="A20" s="655">
        <v>546</v>
      </c>
      <c r="B20" s="656" t="s">
        <v>33</v>
      </c>
      <c r="C20" s="655" t="s">
        <v>2793</v>
      </c>
      <c r="D20" s="656" t="s">
        <v>78</v>
      </c>
      <c r="E20" s="656" t="s">
        <v>79</v>
      </c>
      <c r="F20" s="655">
        <v>22380</v>
      </c>
      <c r="G20" s="656" t="s">
        <v>41</v>
      </c>
      <c r="H20" s="656" t="s">
        <v>1183</v>
      </c>
      <c r="I20" s="656" t="s">
        <v>58</v>
      </c>
      <c r="J20" s="655">
        <v>22</v>
      </c>
      <c r="K20" s="655">
        <v>2</v>
      </c>
      <c r="L20" s="656" t="s">
        <v>52</v>
      </c>
      <c r="M20" s="656" t="s">
        <v>42</v>
      </c>
      <c r="N20" s="656" t="s">
        <v>46</v>
      </c>
      <c r="O20" s="656" t="s">
        <v>46</v>
      </c>
      <c r="P20" s="656" t="s">
        <v>47</v>
      </c>
      <c r="Q20" s="657">
        <v>620</v>
      </c>
      <c r="R20" s="657">
        <v>620</v>
      </c>
      <c r="S20" s="657">
        <v>3596</v>
      </c>
      <c r="T20" s="657">
        <v>3596</v>
      </c>
      <c r="U20" s="657">
        <v>226.39099999999999</v>
      </c>
      <c r="V20" s="655">
        <v>2021</v>
      </c>
      <c r="W20" s="659" t="s">
        <v>3675</v>
      </c>
      <c r="X20" s="660">
        <f t="shared" si="2"/>
        <v>15.884023658184292</v>
      </c>
      <c r="Y20" s="661" t="str">
        <f t="shared" si="0"/>
        <v/>
      </c>
      <c r="Z20" s="661" t="str">
        <f t="shared" si="1"/>
        <v/>
      </c>
    </row>
    <row r="21" spans="1:26" s="128" customFormat="1" ht="25" hidden="1">
      <c r="A21" s="655">
        <v>546</v>
      </c>
      <c r="B21" s="656" t="s">
        <v>33</v>
      </c>
      <c r="C21" s="655" t="s">
        <v>2793</v>
      </c>
      <c r="D21" s="656" t="s">
        <v>78</v>
      </c>
      <c r="E21" s="656" t="s">
        <v>79</v>
      </c>
      <c r="F21" s="655">
        <v>22380</v>
      </c>
      <c r="G21" s="656" t="s">
        <v>41</v>
      </c>
      <c r="H21" s="656" t="s">
        <v>1183</v>
      </c>
      <c r="I21" s="656" t="s">
        <v>58</v>
      </c>
      <c r="J21" s="655">
        <v>22</v>
      </c>
      <c r="K21" s="655">
        <v>2</v>
      </c>
      <c r="L21" s="656" t="s">
        <v>52</v>
      </c>
      <c r="M21" s="656" t="s">
        <v>42</v>
      </c>
      <c r="N21" s="656" t="s">
        <v>39</v>
      </c>
      <c r="O21" s="656" t="s">
        <v>39</v>
      </c>
      <c r="P21" s="656" t="s">
        <v>1037</v>
      </c>
      <c r="Q21" s="657">
        <v>119368</v>
      </c>
      <c r="R21" s="657">
        <v>119368</v>
      </c>
      <c r="S21" s="657">
        <v>122949</v>
      </c>
      <c r="T21" s="657">
        <v>122949</v>
      </c>
      <c r="U21" s="657">
        <v>8915.2780000000002</v>
      </c>
      <c r="V21" s="655">
        <v>2021</v>
      </c>
      <c r="W21" s="659" t="s">
        <v>3675</v>
      </c>
      <c r="X21" s="660">
        <f t="shared" si="2"/>
        <v>13.790820656405778</v>
      </c>
      <c r="Y21" s="661" t="str">
        <f t="shared" si="0"/>
        <v/>
      </c>
      <c r="Z21" s="661" t="str">
        <f t="shared" si="1"/>
        <v/>
      </c>
    </row>
    <row r="22" spans="1:26" s="128" customFormat="1" ht="25" hidden="1">
      <c r="A22" s="655">
        <v>546</v>
      </c>
      <c r="B22" s="656" t="s">
        <v>33</v>
      </c>
      <c r="C22" s="655" t="s">
        <v>2793</v>
      </c>
      <c r="D22" s="656" t="s">
        <v>78</v>
      </c>
      <c r="E22" s="656" t="s">
        <v>79</v>
      </c>
      <c r="F22" s="655">
        <v>22380</v>
      </c>
      <c r="G22" s="656" t="s">
        <v>41</v>
      </c>
      <c r="H22" s="656" t="s">
        <v>1183</v>
      </c>
      <c r="I22" s="656" t="s">
        <v>58</v>
      </c>
      <c r="J22" s="655">
        <v>22</v>
      </c>
      <c r="K22" s="655">
        <v>2</v>
      </c>
      <c r="L22" s="656" t="s">
        <v>52</v>
      </c>
      <c r="M22" s="656" t="s">
        <v>42</v>
      </c>
      <c r="N22" s="656" t="s">
        <v>61</v>
      </c>
      <c r="O22" s="656" t="s">
        <v>61</v>
      </c>
      <c r="P22" s="656" t="s">
        <v>47</v>
      </c>
      <c r="Q22" s="657">
        <v>45023</v>
      </c>
      <c r="R22" s="657">
        <v>45023</v>
      </c>
      <c r="S22" s="657">
        <v>283646</v>
      </c>
      <c r="T22" s="657">
        <v>283646</v>
      </c>
      <c r="U22" s="657">
        <v>17756.330999999998</v>
      </c>
      <c r="V22" s="655">
        <v>2021</v>
      </c>
      <c r="W22" s="659" t="s">
        <v>3675</v>
      </c>
      <c r="X22" s="660">
        <f t="shared" si="2"/>
        <v>15.974358666776375</v>
      </c>
      <c r="Y22" s="661" t="str">
        <f t="shared" si="0"/>
        <v/>
      </c>
      <c r="Z22" s="661" t="str">
        <f t="shared" si="1"/>
        <v/>
      </c>
    </row>
    <row r="23" spans="1:26" s="128" customFormat="1" ht="25">
      <c r="A23" s="655">
        <v>547</v>
      </c>
      <c r="B23" s="656" t="s">
        <v>33</v>
      </c>
      <c r="C23" s="655" t="s">
        <v>2793</v>
      </c>
      <c r="D23" s="656" t="s">
        <v>80</v>
      </c>
      <c r="E23" s="656" t="s">
        <v>1184</v>
      </c>
      <c r="F23" s="655">
        <v>58185</v>
      </c>
      <c r="G23" s="656" t="s">
        <v>81</v>
      </c>
      <c r="H23" s="656" t="s">
        <v>1183</v>
      </c>
      <c r="I23" s="656" t="s">
        <v>58</v>
      </c>
      <c r="J23" s="655">
        <v>22</v>
      </c>
      <c r="K23" s="655">
        <v>2</v>
      </c>
      <c r="L23" s="656" t="s">
        <v>52</v>
      </c>
      <c r="M23" s="656" t="s">
        <v>59</v>
      </c>
      <c r="N23" s="656" t="s">
        <v>36</v>
      </c>
      <c r="O23" s="656" t="s">
        <v>60</v>
      </c>
      <c r="P23" s="656" t="s">
        <v>2794</v>
      </c>
      <c r="Q23" s="657">
        <v>1059547</v>
      </c>
      <c r="R23" s="657">
        <v>1059547</v>
      </c>
      <c r="S23" s="657">
        <v>0</v>
      </c>
      <c r="T23" s="657">
        <v>0</v>
      </c>
      <c r="U23" s="657">
        <v>-273523</v>
      </c>
      <c r="V23" s="655">
        <v>2021</v>
      </c>
      <c r="W23" s="659"/>
      <c r="X23" s="660" t="str">
        <f t="shared" si="2"/>
        <v/>
      </c>
      <c r="Y23" s="661" t="str">
        <f t="shared" si="0"/>
        <v/>
      </c>
      <c r="Z23" s="661" t="str">
        <f t="shared" si="1"/>
        <v/>
      </c>
    </row>
    <row r="24" spans="1:26" s="128" customFormat="1" ht="25" hidden="1">
      <c r="A24" s="655">
        <v>551</v>
      </c>
      <c r="B24" s="656" t="s">
        <v>33</v>
      </c>
      <c r="C24" s="655" t="s">
        <v>2793</v>
      </c>
      <c r="D24" s="656" t="s">
        <v>563</v>
      </c>
      <c r="E24" s="656" t="s">
        <v>74</v>
      </c>
      <c r="F24" s="655">
        <v>54895</v>
      </c>
      <c r="G24" s="656" t="s">
        <v>41</v>
      </c>
      <c r="H24" s="656" t="s">
        <v>1183</v>
      </c>
      <c r="I24" s="656" t="s">
        <v>58</v>
      </c>
      <c r="J24" s="655">
        <v>22</v>
      </c>
      <c r="K24" s="655">
        <v>2</v>
      </c>
      <c r="L24" s="656" t="s">
        <v>52</v>
      </c>
      <c r="M24" s="656" t="s">
        <v>35</v>
      </c>
      <c r="N24" s="656" t="s">
        <v>36</v>
      </c>
      <c r="O24" s="656" t="s">
        <v>37</v>
      </c>
      <c r="P24" s="656" t="s">
        <v>1176</v>
      </c>
      <c r="Q24" s="657">
        <v>0</v>
      </c>
      <c r="R24" s="657">
        <v>0</v>
      </c>
      <c r="S24" s="657">
        <v>42313</v>
      </c>
      <c r="T24" s="657">
        <v>42313</v>
      </c>
      <c r="U24" s="657">
        <v>4785</v>
      </c>
      <c r="V24" s="655">
        <v>2021</v>
      </c>
      <c r="W24" s="659"/>
      <c r="X24" s="660">
        <f t="shared" si="2"/>
        <v>8.8428422152560078</v>
      </c>
      <c r="Y24" s="661" t="str">
        <f t="shared" si="0"/>
        <v/>
      </c>
      <c r="Z24" s="661" t="str">
        <f t="shared" si="1"/>
        <v/>
      </c>
    </row>
    <row r="25" spans="1:26" s="128" customFormat="1" ht="25" hidden="1">
      <c r="A25" s="655">
        <v>552</v>
      </c>
      <c r="B25" s="656" t="s">
        <v>33</v>
      </c>
      <c r="C25" s="655" t="s">
        <v>2793</v>
      </c>
      <c r="D25" s="656" t="s">
        <v>564</v>
      </c>
      <c r="E25" s="656" t="s">
        <v>74</v>
      </c>
      <c r="F25" s="655">
        <v>54895</v>
      </c>
      <c r="G25" s="656" t="s">
        <v>41</v>
      </c>
      <c r="H25" s="656" t="s">
        <v>1183</v>
      </c>
      <c r="I25" s="656" t="s">
        <v>58</v>
      </c>
      <c r="J25" s="655">
        <v>22</v>
      </c>
      <c r="K25" s="655">
        <v>2</v>
      </c>
      <c r="L25" s="656" t="s">
        <v>52</v>
      </c>
      <c r="M25" s="656" t="s">
        <v>35</v>
      </c>
      <c r="N25" s="656" t="s">
        <v>36</v>
      </c>
      <c r="O25" s="656" t="s">
        <v>37</v>
      </c>
      <c r="P25" s="656" t="s">
        <v>1176</v>
      </c>
      <c r="Q25" s="657">
        <v>0</v>
      </c>
      <c r="R25" s="657">
        <v>0</v>
      </c>
      <c r="S25" s="657">
        <v>1311336</v>
      </c>
      <c r="T25" s="657">
        <v>1311336</v>
      </c>
      <c r="U25" s="657">
        <v>148291</v>
      </c>
      <c r="V25" s="655">
        <v>2021</v>
      </c>
      <c r="W25" s="659"/>
      <c r="X25" s="660">
        <f t="shared" si="2"/>
        <v>8.8429911457876749</v>
      </c>
      <c r="Y25" s="661" t="str">
        <f t="shared" si="0"/>
        <v/>
      </c>
      <c r="Z25" s="661" t="str">
        <f t="shared" si="1"/>
        <v/>
      </c>
    </row>
    <row r="26" spans="1:26" s="128" customFormat="1" ht="25" hidden="1">
      <c r="A26" s="655">
        <v>553</v>
      </c>
      <c r="B26" s="656" t="s">
        <v>33</v>
      </c>
      <c r="C26" s="655" t="s">
        <v>2793</v>
      </c>
      <c r="D26" s="656" t="s">
        <v>565</v>
      </c>
      <c r="E26" s="656" t="s">
        <v>74</v>
      </c>
      <c r="F26" s="655">
        <v>54895</v>
      </c>
      <c r="G26" s="656" t="s">
        <v>41</v>
      </c>
      <c r="H26" s="656" t="s">
        <v>1183</v>
      </c>
      <c r="I26" s="656" t="s">
        <v>58</v>
      </c>
      <c r="J26" s="655">
        <v>22</v>
      </c>
      <c r="K26" s="655">
        <v>2</v>
      </c>
      <c r="L26" s="656" t="s">
        <v>52</v>
      </c>
      <c r="M26" s="656" t="s">
        <v>35</v>
      </c>
      <c r="N26" s="656" t="s">
        <v>36</v>
      </c>
      <c r="O26" s="656" t="s">
        <v>37</v>
      </c>
      <c r="P26" s="656" t="s">
        <v>1176</v>
      </c>
      <c r="Q26" s="657">
        <v>0</v>
      </c>
      <c r="R26" s="657">
        <v>0</v>
      </c>
      <c r="S26" s="657">
        <v>1030669</v>
      </c>
      <c r="T26" s="657">
        <v>1030669</v>
      </c>
      <c r="U26" s="657">
        <v>116552</v>
      </c>
      <c r="V26" s="655">
        <v>2021</v>
      </c>
      <c r="W26" s="659"/>
      <c r="X26" s="660">
        <f t="shared" si="2"/>
        <v>8.8429971171665862</v>
      </c>
      <c r="Y26" s="661" t="str">
        <f t="shared" si="0"/>
        <v/>
      </c>
      <c r="Z26" s="661" t="str">
        <f t="shared" si="1"/>
        <v/>
      </c>
    </row>
    <row r="27" spans="1:26" s="128" customFormat="1" ht="25" hidden="1">
      <c r="A27" s="655">
        <v>554</v>
      </c>
      <c r="B27" s="656" t="s">
        <v>33</v>
      </c>
      <c r="C27" s="655" t="s">
        <v>2793</v>
      </c>
      <c r="D27" s="656" t="s">
        <v>566</v>
      </c>
      <c r="E27" s="656" t="s">
        <v>74</v>
      </c>
      <c r="F27" s="655">
        <v>54895</v>
      </c>
      <c r="G27" s="656" t="s">
        <v>41</v>
      </c>
      <c r="H27" s="656" t="s">
        <v>1183</v>
      </c>
      <c r="I27" s="656" t="s">
        <v>58</v>
      </c>
      <c r="J27" s="655">
        <v>22</v>
      </c>
      <c r="K27" s="655">
        <v>2</v>
      </c>
      <c r="L27" s="656" t="s">
        <v>52</v>
      </c>
      <c r="M27" s="656" t="s">
        <v>35</v>
      </c>
      <c r="N27" s="656" t="s">
        <v>36</v>
      </c>
      <c r="O27" s="656" t="s">
        <v>37</v>
      </c>
      <c r="P27" s="656" t="s">
        <v>1176</v>
      </c>
      <c r="Q27" s="657">
        <v>0</v>
      </c>
      <c r="R27" s="657">
        <v>0</v>
      </c>
      <c r="S27" s="657">
        <v>36751</v>
      </c>
      <c r="T27" s="657">
        <v>36751</v>
      </c>
      <c r="U27" s="657">
        <v>4156</v>
      </c>
      <c r="V27" s="655">
        <v>2021</v>
      </c>
      <c r="W27" s="659"/>
      <c r="X27" s="660">
        <f t="shared" si="2"/>
        <v>8.8428777670837349</v>
      </c>
      <c r="Y27" s="661" t="str">
        <f t="shared" si="0"/>
        <v/>
      </c>
      <c r="Z27" s="661" t="str">
        <f t="shared" si="1"/>
        <v/>
      </c>
    </row>
    <row r="28" spans="1:26" s="128" customFormat="1" ht="25" hidden="1">
      <c r="A28" s="655">
        <v>557</v>
      </c>
      <c r="B28" s="656" t="s">
        <v>33</v>
      </c>
      <c r="C28" s="655" t="s">
        <v>2793</v>
      </c>
      <c r="D28" s="656" t="s">
        <v>567</v>
      </c>
      <c r="E28" s="656" t="s">
        <v>74</v>
      </c>
      <c r="F28" s="655">
        <v>54895</v>
      </c>
      <c r="G28" s="656" t="s">
        <v>41</v>
      </c>
      <c r="H28" s="656" t="s">
        <v>1183</v>
      </c>
      <c r="I28" s="656" t="s">
        <v>58</v>
      </c>
      <c r="J28" s="655">
        <v>22</v>
      </c>
      <c r="K28" s="655">
        <v>2</v>
      </c>
      <c r="L28" s="656" t="s">
        <v>52</v>
      </c>
      <c r="M28" s="656" t="s">
        <v>50</v>
      </c>
      <c r="N28" s="656" t="s">
        <v>46</v>
      </c>
      <c r="O28" s="656" t="s">
        <v>46</v>
      </c>
      <c r="P28" s="656" t="s">
        <v>47</v>
      </c>
      <c r="Q28" s="657">
        <v>0</v>
      </c>
      <c r="R28" s="657">
        <v>0</v>
      </c>
      <c r="S28" s="657">
        <v>0</v>
      </c>
      <c r="T28" s="657">
        <v>0</v>
      </c>
      <c r="U28" s="657">
        <v>0</v>
      </c>
      <c r="V28" s="655">
        <v>2021</v>
      </c>
      <c r="W28" s="659"/>
      <c r="X28" s="660" t="str">
        <f t="shared" si="2"/>
        <v/>
      </c>
      <c r="Y28" s="661" t="str">
        <f t="shared" si="0"/>
        <v/>
      </c>
      <c r="Z28" s="661" t="str">
        <f t="shared" si="1"/>
        <v/>
      </c>
    </row>
    <row r="29" spans="1:26" s="128" customFormat="1" ht="25" hidden="1">
      <c r="A29" s="655">
        <v>557</v>
      </c>
      <c r="B29" s="656" t="s">
        <v>33</v>
      </c>
      <c r="C29" s="655" t="s">
        <v>2793</v>
      </c>
      <c r="D29" s="656" t="s">
        <v>567</v>
      </c>
      <c r="E29" s="656" t="s">
        <v>74</v>
      </c>
      <c r="F29" s="655">
        <v>54895</v>
      </c>
      <c r="G29" s="656" t="s">
        <v>41</v>
      </c>
      <c r="H29" s="656" t="s">
        <v>1183</v>
      </c>
      <c r="I29" s="656" t="s">
        <v>58</v>
      </c>
      <c r="J29" s="655">
        <v>22</v>
      </c>
      <c r="K29" s="655">
        <v>2</v>
      </c>
      <c r="L29" s="656" t="s">
        <v>52</v>
      </c>
      <c r="M29" s="656" t="s">
        <v>50</v>
      </c>
      <c r="N29" s="656" t="s">
        <v>66</v>
      </c>
      <c r="O29" s="656" t="s">
        <v>67</v>
      </c>
      <c r="P29" s="656" t="s">
        <v>47</v>
      </c>
      <c r="Q29" s="657">
        <v>529</v>
      </c>
      <c r="R29" s="657">
        <v>529</v>
      </c>
      <c r="S29" s="657">
        <v>3174</v>
      </c>
      <c r="T29" s="657">
        <v>3174</v>
      </c>
      <c r="U29" s="657">
        <v>211</v>
      </c>
      <c r="V29" s="655">
        <v>2021</v>
      </c>
      <c r="W29" s="659"/>
      <c r="X29" s="660">
        <f t="shared" si="2"/>
        <v>15.042654028436019</v>
      </c>
      <c r="Y29" s="661" t="str">
        <f t="shared" si="0"/>
        <v/>
      </c>
      <c r="Z29" s="661" t="str">
        <f t="shared" si="1"/>
        <v/>
      </c>
    </row>
    <row r="30" spans="1:26" s="128" customFormat="1" ht="25" hidden="1">
      <c r="A30" s="655">
        <v>557</v>
      </c>
      <c r="B30" s="656" t="s">
        <v>33</v>
      </c>
      <c r="C30" s="655" t="s">
        <v>2793</v>
      </c>
      <c r="D30" s="656" t="s">
        <v>567</v>
      </c>
      <c r="E30" s="656" t="s">
        <v>74</v>
      </c>
      <c r="F30" s="655">
        <v>54895</v>
      </c>
      <c r="G30" s="656" t="s">
        <v>41</v>
      </c>
      <c r="H30" s="656" t="s">
        <v>1183</v>
      </c>
      <c r="I30" s="656" t="s">
        <v>58</v>
      </c>
      <c r="J30" s="655">
        <v>22</v>
      </c>
      <c r="K30" s="655">
        <v>2</v>
      </c>
      <c r="L30" s="656" t="s">
        <v>52</v>
      </c>
      <c r="M30" s="656" t="s">
        <v>35</v>
      </c>
      <c r="N30" s="656" t="s">
        <v>36</v>
      </c>
      <c r="O30" s="656" t="s">
        <v>37</v>
      </c>
      <c r="P30" s="656" t="s">
        <v>1176</v>
      </c>
      <c r="Q30" s="657">
        <v>0</v>
      </c>
      <c r="R30" s="657">
        <v>0</v>
      </c>
      <c r="S30" s="657">
        <v>97050</v>
      </c>
      <c r="T30" s="657">
        <v>97050</v>
      </c>
      <c r="U30" s="657">
        <v>10975</v>
      </c>
      <c r="V30" s="655">
        <v>2021</v>
      </c>
      <c r="W30" s="659"/>
      <c r="X30" s="660">
        <f t="shared" si="2"/>
        <v>8.8428246013667433</v>
      </c>
      <c r="Y30" s="661" t="str">
        <f t="shared" si="0"/>
        <v/>
      </c>
      <c r="Z30" s="661" t="str">
        <f t="shared" si="1"/>
        <v/>
      </c>
    </row>
    <row r="31" spans="1:26" s="128" customFormat="1" ht="25" hidden="1">
      <c r="A31" s="655">
        <v>559</v>
      </c>
      <c r="B31" s="656" t="s">
        <v>33</v>
      </c>
      <c r="C31" s="655" t="s">
        <v>2793</v>
      </c>
      <c r="D31" s="656" t="s">
        <v>1565</v>
      </c>
      <c r="E31" s="656" t="s">
        <v>568</v>
      </c>
      <c r="F31" s="655">
        <v>6207</v>
      </c>
      <c r="G31" s="656" t="s">
        <v>41</v>
      </c>
      <c r="H31" s="656" t="s">
        <v>1183</v>
      </c>
      <c r="I31" s="656" t="s">
        <v>58</v>
      </c>
      <c r="J31" s="655">
        <v>22</v>
      </c>
      <c r="K31" s="655">
        <v>1</v>
      </c>
      <c r="L31" s="656" t="s">
        <v>34</v>
      </c>
      <c r="M31" s="656" t="s">
        <v>35</v>
      </c>
      <c r="N31" s="656" t="s">
        <v>36</v>
      </c>
      <c r="O31" s="656" t="s">
        <v>37</v>
      </c>
      <c r="P31" s="656" t="s">
        <v>1176</v>
      </c>
      <c r="Q31" s="657">
        <v>0</v>
      </c>
      <c r="R31" s="657">
        <v>0</v>
      </c>
      <c r="S31" s="657">
        <v>333847</v>
      </c>
      <c r="T31" s="657">
        <v>333847</v>
      </c>
      <c r="U31" s="657">
        <v>37752.660000000003</v>
      </c>
      <c r="V31" s="655">
        <v>2021</v>
      </c>
      <c r="W31" s="659"/>
      <c r="X31" s="660">
        <f t="shared" si="2"/>
        <v>8.843006029244032</v>
      </c>
      <c r="Y31" s="661" t="str">
        <f t="shared" si="0"/>
        <v/>
      </c>
      <c r="Z31" s="661" t="str">
        <f t="shared" si="1"/>
        <v/>
      </c>
    </row>
    <row r="32" spans="1:26" s="128" customFormat="1" ht="25" hidden="1">
      <c r="A32" s="655">
        <v>560</v>
      </c>
      <c r="B32" s="656" t="s">
        <v>33</v>
      </c>
      <c r="C32" s="655" t="s">
        <v>2793</v>
      </c>
      <c r="D32" s="656" t="s">
        <v>569</v>
      </c>
      <c r="E32" s="656" t="s">
        <v>74</v>
      </c>
      <c r="F32" s="655">
        <v>54895</v>
      </c>
      <c r="G32" s="656" t="s">
        <v>41</v>
      </c>
      <c r="H32" s="656" t="s">
        <v>1183</v>
      </c>
      <c r="I32" s="656" t="s">
        <v>58</v>
      </c>
      <c r="J32" s="655">
        <v>22</v>
      </c>
      <c r="K32" s="655">
        <v>2</v>
      </c>
      <c r="L32" s="656" t="s">
        <v>52</v>
      </c>
      <c r="M32" s="656" t="s">
        <v>35</v>
      </c>
      <c r="N32" s="656" t="s">
        <v>36</v>
      </c>
      <c r="O32" s="656" t="s">
        <v>37</v>
      </c>
      <c r="P32" s="656" t="s">
        <v>1176</v>
      </c>
      <c r="Q32" s="657">
        <v>0</v>
      </c>
      <c r="R32" s="657">
        <v>0</v>
      </c>
      <c r="S32" s="657">
        <v>462401</v>
      </c>
      <c r="T32" s="657">
        <v>462401</v>
      </c>
      <c r="U32" s="657">
        <v>52290</v>
      </c>
      <c r="V32" s="655">
        <v>2021</v>
      </c>
      <c r="W32" s="659"/>
      <c r="X32" s="660">
        <f t="shared" si="2"/>
        <v>8.8430101357812205</v>
      </c>
      <c r="Y32" s="661" t="str">
        <f t="shared" si="0"/>
        <v/>
      </c>
      <c r="Z32" s="661" t="str">
        <f t="shared" si="1"/>
        <v/>
      </c>
    </row>
    <row r="33" spans="1:26" s="128" customFormat="1" hidden="1">
      <c r="A33" s="655">
        <v>561</v>
      </c>
      <c r="B33" s="656" t="s">
        <v>33</v>
      </c>
      <c r="C33" s="655" t="s">
        <v>2793</v>
      </c>
      <c r="D33" s="656" t="s">
        <v>570</v>
      </c>
      <c r="E33" s="656" t="s">
        <v>560</v>
      </c>
      <c r="F33" s="655">
        <v>22379</v>
      </c>
      <c r="G33" s="656" t="s">
        <v>41</v>
      </c>
      <c r="H33" s="656" t="s">
        <v>1183</v>
      </c>
      <c r="I33" s="656" t="s">
        <v>58</v>
      </c>
      <c r="J33" s="655">
        <v>22</v>
      </c>
      <c r="K33" s="655">
        <v>2</v>
      </c>
      <c r="L33" s="656" t="s">
        <v>52</v>
      </c>
      <c r="M33" s="656" t="s">
        <v>50</v>
      </c>
      <c r="N33" s="656" t="s">
        <v>66</v>
      </c>
      <c r="O33" s="656" t="s">
        <v>67</v>
      </c>
      <c r="P33" s="656" t="s">
        <v>47</v>
      </c>
      <c r="Q33" s="657">
        <v>0</v>
      </c>
      <c r="R33" s="657">
        <v>0</v>
      </c>
      <c r="S33" s="657">
        <v>0</v>
      </c>
      <c r="T33" s="657">
        <v>0</v>
      </c>
      <c r="U33" s="657">
        <v>0</v>
      </c>
      <c r="V33" s="655">
        <v>2021</v>
      </c>
      <c r="W33" s="659"/>
      <c r="X33" s="660" t="str">
        <f t="shared" si="2"/>
        <v/>
      </c>
      <c r="Y33" s="661" t="str">
        <f t="shared" si="0"/>
        <v/>
      </c>
      <c r="Z33" s="661" t="str">
        <f t="shared" si="1"/>
        <v/>
      </c>
    </row>
    <row r="34" spans="1:26" s="128" customFormat="1" hidden="1">
      <c r="A34" s="655">
        <v>561</v>
      </c>
      <c r="B34" s="656" t="s">
        <v>33</v>
      </c>
      <c r="C34" s="655" t="s">
        <v>2793</v>
      </c>
      <c r="D34" s="656" t="s">
        <v>570</v>
      </c>
      <c r="E34" s="656" t="s">
        <v>560</v>
      </c>
      <c r="F34" s="655">
        <v>22379</v>
      </c>
      <c r="G34" s="656" t="s">
        <v>41</v>
      </c>
      <c r="H34" s="656" t="s">
        <v>1183</v>
      </c>
      <c r="I34" s="656" t="s">
        <v>58</v>
      </c>
      <c r="J34" s="655">
        <v>22</v>
      </c>
      <c r="K34" s="655">
        <v>2</v>
      </c>
      <c r="L34" s="656" t="s">
        <v>52</v>
      </c>
      <c r="M34" s="656" t="s">
        <v>50</v>
      </c>
      <c r="N34" s="656" t="s">
        <v>76</v>
      </c>
      <c r="O34" s="656" t="s">
        <v>67</v>
      </c>
      <c r="P34" s="656" t="s">
        <v>47</v>
      </c>
      <c r="Q34" s="657">
        <v>685</v>
      </c>
      <c r="R34" s="657">
        <v>685</v>
      </c>
      <c r="S34" s="657">
        <v>4036</v>
      </c>
      <c r="T34" s="657">
        <v>4036</v>
      </c>
      <c r="U34" s="657">
        <v>208</v>
      </c>
      <c r="V34" s="655">
        <v>2021</v>
      </c>
      <c r="W34" s="659"/>
      <c r="X34" s="660">
        <f t="shared" si="2"/>
        <v>19.403846153846153</v>
      </c>
      <c r="Y34" s="661" t="str">
        <f t="shared" si="0"/>
        <v/>
      </c>
      <c r="Z34" s="661" t="str">
        <f t="shared" si="1"/>
        <v/>
      </c>
    </row>
    <row r="35" spans="1:26" s="128" customFormat="1" hidden="1">
      <c r="A35" s="655">
        <v>562</v>
      </c>
      <c r="B35" s="656" t="s">
        <v>33</v>
      </c>
      <c r="C35" s="655" t="s">
        <v>2793</v>
      </c>
      <c r="D35" s="656" t="s">
        <v>83</v>
      </c>
      <c r="E35" s="656" t="s">
        <v>84</v>
      </c>
      <c r="F35" s="655">
        <v>12490</v>
      </c>
      <c r="G35" s="656" t="s">
        <v>41</v>
      </c>
      <c r="H35" s="656" t="s">
        <v>1183</v>
      </c>
      <c r="I35" s="656" t="s">
        <v>58</v>
      </c>
      <c r="J35" s="655">
        <v>22</v>
      </c>
      <c r="K35" s="655">
        <v>2</v>
      </c>
      <c r="L35" s="656" t="s">
        <v>52</v>
      </c>
      <c r="M35" s="656" t="s">
        <v>50</v>
      </c>
      <c r="N35" s="656" t="s">
        <v>76</v>
      </c>
      <c r="O35" s="656" t="s">
        <v>67</v>
      </c>
      <c r="P35" s="656" t="s">
        <v>47</v>
      </c>
      <c r="Q35" s="657">
        <v>1264</v>
      </c>
      <c r="R35" s="657">
        <v>1264</v>
      </c>
      <c r="S35" s="657">
        <v>7077</v>
      </c>
      <c r="T35" s="657">
        <v>7077</v>
      </c>
      <c r="U35" s="657">
        <v>63</v>
      </c>
      <c r="V35" s="655">
        <v>2021</v>
      </c>
      <c r="W35" s="659" t="s">
        <v>3675</v>
      </c>
      <c r="X35" s="660">
        <f t="shared" si="2"/>
        <v>112.33333333333333</v>
      </c>
      <c r="Y35" s="661" t="str">
        <f t="shared" si="0"/>
        <v/>
      </c>
      <c r="Z35" s="661" t="str">
        <f t="shared" si="1"/>
        <v/>
      </c>
    </row>
    <row r="36" spans="1:26" s="128" customFormat="1" hidden="1">
      <c r="A36" s="655">
        <v>562</v>
      </c>
      <c r="B36" s="656" t="s">
        <v>33</v>
      </c>
      <c r="C36" s="655" t="s">
        <v>2793</v>
      </c>
      <c r="D36" s="656" t="s">
        <v>83</v>
      </c>
      <c r="E36" s="656" t="s">
        <v>84</v>
      </c>
      <c r="F36" s="655">
        <v>12490</v>
      </c>
      <c r="G36" s="656" t="s">
        <v>41</v>
      </c>
      <c r="H36" s="656" t="s">
        <v>1183</v>
      </c>
      <c r="I36" s="656" t="s">
        <v>58</v>
      </c>
      <c r="J36" s="655">
        <v>22</v>
      </c>
      <c r="K36" s="655">
        <v>2</v>
      </c>
      <c r="L36" s="656" t="s">
        <v>52</v>
      </c>
      <c r="M36" s="656" t="s">
        <v>42</v>
      </c>
      <c r="N36" s="656" t="s">
        <v>46</v>
      </c>
      <c r="O36" s="656" t="s">
        <v>46</v>
      </c>
      <c r="P36" s="656" t="s">
        <v>47</v>
      </c>
      <c r="Q36" s="657">
        <v>428</v>
      </c>
      <c r="R36" s="657">
        <v>428</v>
      </c>
      <c r="S36" s="657">
        <v>2395</v>
      </c>
      <c r="T36" s="657">
        <v>2395</v>
      </c>
      <c r="U36" s="657">
        <v>-204.001</v>
      </c>
      <c r="V36" s="655">
        <v>2021</v>
      </c>
      <c r="W36" s="659" t="s">
        <v>3675</v>
      </c>
      <c r="X36" s="660" t="str">
        <f t="shared" si="2"/>
        <v/>
      </c>
      <c r="Y36" s="661" t="str">
        <f t="shared" si="0"/>
        <v/>
      </c>
      <c r="Z36" s="661" t="str">
        <f t="shared" si="1"/>
        <v/>
      </c>
    </row>
    <row r="37" spans="1:26" s="128" customFormat="1" hidden="1">
      <c r="A37" s="655">
        <v>562</v>
      </c>
      <c r="B37" s="656" t="s">
        <v>33</v>
      </c>
      <c r="C37" s="655" t="s">
        <v>2793</v>
      </c>
      <c r="D37" s="656" t="s">
        <v>83</v>
      </c>
      <c r="E37" s="656" t="s">
        <v>84</v>
      </c>
      <c r="F37" s="655">
        <v>12490</v>
      </c>
      <c r="G37" s="656" t="s">
        <v>41</v>
      </c>
      <c r="H37" s="656" t="s">
        <v>1183</v>
      </c>
      <c r="I37" s="656" t="s">
        <v>58</v>
      </c>
      <c r="J37" s="655">
        <v>22</v>
      </c>
      <c r="K37" s="655">
        <v>2</v>
      </c>
      <c r="L37" s="656" t="s">
        <v>52</v>
      </c>
      <c r="M37" s="656" t="s">
        <v>42</v>
      </c>
      <c r="N37" s="656" t="s">
        <v>39</v>
      </c>
      <c r="O37" s="656" t="s">
        <v>39</v>
      </c>
      <c r="P37" s="656" t="s">
        <v>1037</v>
      </c>
      <c r="Q37" s="657">
        <v>1896550</v>
      </c>
      <c r="R37" s="657">
        <v>1896550</v>
      </c>
      <c r="S37" s="657">
        <v>1953445</v>
      </c>
      <c r="T37" s="657">
        <v>1953445</v>
      </c>
      <c r="U37" s="657">
        <v>150872.6</v>
      </c>
      <c r="V37" s="655">
        <v>2021</v>
      </c>
      <c r="W37" s="659" t="s">
        <v>3675</v>
      </c>
      <c r="X37" s="660">
        <f t="shared" si="2"/>
        <v>12.947645894615722</v>
      </c>
      <c r="Y37" s="661" t="str">
        <f t="shared" si="0"/>
        <v/>
      </c>
      <c r="Z37" s="661" t="str">
        <f t="shared" si="1"/>
        <v/>
      </c>
    </row>
    <row r="38" spans="1:26" s="128" customFormat="1" hidden="1">
      <c r="A38" s="655">
        <v>562</v>
      </c>
      <c r="B38" s="656" t="s">
        <v>33</v>
      </c>
      <c r="C38" s="655" t="s">
        <v>2793</v>
      </c>
      <c r="D38" s="656" t="s">
        <v>83</v>
      </c>
      <c r="E38" s="656" t="s">
        <v>84</v>
      </c>
      <c r="F38" s="655">
        <v>12490</v>
      </c>
      <c r="G38" s="656" t="s">
        <v>41</v>
      </c>
      <c r="H38" s="656" t="s">
        <v>1183</v>
      </c>
      <c r="I38" s="656" t="s">
        <v>58</v>
      </c>
      <c r="J38" s="655">
        <v>22</v>
      </c>
      <c r="K38" s="655">
        <v>2</v>
      </c>
      <c r="L38" s="656" t="s">
        <v>52</v>
      </c>
      <c r="M38" s="656" t="s">
        <v>42</v>
      </c>
      <c r="N38" s="656" t="s">
        <v>61</v>
      </c>
      <c r="O38" s="656" t="s">
        <v>61</v>
      </c>
      <c r="P38" s="656" t="s">
        <v>47</v>
      </c>
      <c r="Q38" s="657">
        <v>11178</v>
      </c>
      <c r="R38" s="657">
        <v>11178</v>
      </c>
      <c r="S38" s="657">
        <v>68633</v>
      </c>
      <c r="T38" s="657">
        <v>68633</v>
      </c>
      <c r="U38" s="657">
        <v>3916.402</v>
      </c>
      <c r="V38" s="655">
        <v>2021</v>
      </c>
      <c r="W38" s="659" t="s">
        <v>3675</v>
      </c>
      <c r="X38" s="660">
        <f t="shared" si="2"/>
        <v>17.524503357929039</v>
      </c>
      <c r="Y38" s="661" t="str">
        <f t="shared" si="0"/>
        <v/>
      </c>
      <c r="Z38" s="661" t="str">
        <f t="shared" si="1"/>
        <v/>
      </c>
    </row>
    <row r="39" spans="1:26" s="128" customFormat="1" hidden="1">
      <c r="A39" s="655">
        <v>563</v>
      </c>
      <c r="B39" s="656" t="s">
        <v>33</v>
      </c>
      <c r="C39" s="655" t="s">
        <v>2793</v>
      </c>
      <c r="D39" s="656" t="s">
        <v>571</v>
      </c>
      <c r="E39" s="656" t="s">
        <v>1113</v>
      </c>
      <c r="F39" s="655">
        <v>4426</v>
      </c>
      <c r="G39" s="656" t="s">
        <v>41</v>
      </c>
      <c r="H39" s="656" t="s">
        <v>1183</v>
      </c>
      <c r="I39" s="656" t="s">
        <v>58</v>
      </c>
      <c r="J39" s="655">
        <v>22</v>
      </c>
      <c r="K39" s="655">
        <v>2</v>
      </c>
      <c r="L39" s="656" t="s">
        <v>52</v>
      </c>
      <c r="M39" s="656" t="s">
        <v>50</v>
      </c>
      <c r="N39" s="656" t="s">
        <v>76</v>
      </c>
      <c r="O39" s="656" t="s">
        <v>67</v>
      </c>
      <c r="P39" s="656" t="s">
        <v>47</v>
      </c>
      <c r="Q39" s="657">
        <v>4097</v>
      </c>
      <c r="R39" s="657">
        <v>4097</v>
      </c>
      <c r="S39" s="657">
        <v>22653</v>
      </c>
      <c r="T39" s="657">
        <v>22653</v>
      </c>
      <c r="U39" s="657">
        <v>1138.999</v>
      </c>
      <c r="V39" s="655">
        <v>2021</v>
      </c>
      <c r="W39" s="659" t="s">
        <v>3675</v>
      </c>
      <c r="X39" s="660">
        <f t="shared" si="2"/>
        <v>19.888516144439109</v>
      </c>
      <c r="Y39" s="661" t="str">
        <f t="shared" si="0"/>
        <v/>
      </c>
      <c r="Z39" s="661" t="str">
        <f t="shared" si="1"/>
        <v/>
      </c>
    </row>
    <row r="40" spans="1:26" s="128" customFormat="1" hidden="1">
      <c r="A40" s="655">
        <v>565</v>
      </c>
      <c r="B40" s="656" t="s">
        <v>33</v>
      </c>
      <c r="C40" s="655" t="s">
        <v>2793</v>
      </c>
      <c r="D40" s="656" t="s">
        <v>572</v>
      </c>
      <c r="E40" s="656" t="s">
        <v>560</v>
      </c>
      <c r="F40" s="655">
        <v>22379</v>
      </c>
      <c r="G40" s="656" t="s">
        <v>41</v>
      </c>
      <c r="H40" s="656" t="s">
        <v>1183</v>
      </c>
      <c r="I40" s="656" t="s">
        <v>58</v>
      </c>
      <c r="J40" s="655">
        <v>22</v>
      </c>
      <c r="K40" s="655">
        <v>2</v>
      </c>
      <c r="L40" s="656" t="s">
        <v>52</v>
      </c>
      <c r="M40" s="656" t="s">
        <v>50</v>
      </c>
      <c r="N40" s="656" t="s">
        <v>66</v>
      </c>
      <c r="O40" s="656" t="s">
        <v>67</v>
      </c>
      <c r="P40" s="656" t="s">
        <v>47</v>
      </c>
      <c r="Q40" s="657">
        <v>0</v>
      </c>
      <c r="R40" s="657">
        <v>0</v>
      </c>
      <c r="S40" s="657">
        <v>0</v>
      </c>
      <c r="T40" s="657">
        <v>0</v>
      </c>
      <c r="U40" s="657">
        <v>0</v>
      </c>
      <c r="V40" s="655">
        <v>2021</v>
      </c>
      <c r="W40" s="659"/>
      <c r="X40" s="660" t="str">
        <f t="shared" si="2"/>
        <v/>
      </c>
      <c r="Y40" s="661" t="str">
        <f t="shared" si="0"/>
        <v/>
      </c>
      <c r="Z40" s="661" t="str">
        <f t="shared" si="1"/>
        <v/>
      </c>
    </row>
    <row r="41" spans="1:26" s="128" customFormat="1" hidden="1">
      <c r="A41" s="655">
        <v>565</v>
      </c>
      <c r="B41" s="656" t="s">
        <v>33</v>
      </c>
      <c r="C41" s="655" t="s">
        <v>2793</v>
      </c>
      <c r="D41" s="656" t="s">
        <v>572</v>
      </c>
      <c r="E41" s="656" t="s">
        <v>560</v>
      </c>
      <c r="F41" s="655">
        <v>22379</v>
      </c>
      <c r="G41" s="656" t="s">
        <v>41</v>
      </c>
      <c r="H41" s="656" t="s">
        <v>1183</v>
      </c>
      <c r="I41" s="656" t="s">
        <v>58</v>
      </c>
      <c r="J41" s="655">
        <v>22</v>
      </c>
      <c r="K41" s="655">
        <v>2</v>
      </c>
      <c r="L41" s="656" t="s">
        <v>52</v>
      </c>
      <c r="M41" s="656" t="s">
        <v>50</v>
      </c>
      <c r="N41" s="656" t="s">
        <v>76</v>
      </c>
      <c r="O41" s="656" t="s">
        <v>67</v>
      </c>
      <c r="P41" s="656" t="s">
        <v>47</v>
      </c>
      <c r="Q41" s="657">
        <v>474</v>
      </c>
      <c r="R41" s="657">
        <v>474</v>
      </c>
      <c r="S41" s="657">
        <v>2792</v>
      </c>
      <c r="T41" s="657">
        <v>2792</v>
      </c>
      <c r="U41" s="657">
        <v>154</v>
      </c>
      <c r="V41" s="655">
        <v>2021</v>
      </c>
      <c r="W41" s="659"/>
      <c r="X41" s="660">
        <f t="shared" si="2"/>
        <v>18.129870129870131</v>
      </c>
      <c r="Y41" s="661" t="str">
        <f t="shared" si="0"/>
        <v/>
      </c>
      <c r="Z41" s="661" t="str">
        <f t="shared" si="1"/>
        <v/>
      </c>
    </row>
    <row r="42" spans="1:26" s="128" customFormat="1" ht="25" hidden="1">
      <c r="A42" s="655">
        <v>566</v>
      </c>
      <c r="B42" s="656" t="s">
        <v>33</v>
      </c>
      <c r="C42" s="655">
        <v>3</v>
      </c>
      <c r="D42" s="656" t="s">
        <v>85</v>
      </c>
      <c r="E42" s="656" t="s">
        <v>2124</v>
      </c>
      <c r="F42" s="655">
        <v>5221</v>
      </c>
      <c r="G42" s="656" t="s">
        <v>41</v>
      </c>
      <c r="H42" s="656" t="s">
        <v>1183</v>
      </c>
      <c r="I42" s="656" t="s">
        <v>58</v>
      </c>
      <c r="J42" s="655">
        <v>22</v>
      </c>
      <c r="K42" s="655">
        <v>2</v>
      </c>
      <c r="L42" s="656" t="s">
        <v>52</v>
      </c>
      <c r="M42" s="656" t="s">
        <v>42</v>
      </c>
      <c r="N42" s="656" t="s">
        <v>53</v>
      </c>
      <c r="O42" s="656" t="s">
        <v>53</v>
      </c>
      <c r="P42" s="656" t="s">
        <v>1176</v>
      </c>
      <c r="Q42" s="657">
        <v>0</v>
      </c>
      <c r="R42" s="657">
        <v>0</v>
      </c>
      <c r="S42" s="657">
        <v>0</v>
      </c>
      <c r="T42" s="657">
        <v>0</v>
      </c>
      <c r="U42" s="657">
        <v>10296948</v>
      </c>
      <c r="V42" s="655">
        <v>2021</v>
      </c>
      <c r="W42" s="659"/>
      <c r="X42" s="660" t="str">
        <f t="shared" si="2"/>
        <v/>
      </c>
      <c r="Y42" s="661" t="str">
        <f t="shared" si="0"/>
        <v/>
      </c>
      <c r="Z42" s="661" t="str">
        <f t="shared" si="1"/>
        <v/>
      </c>
    </row>
    <row r="43" spans="1:26" s="128" customFormat="1" ht="25" hidden="1">
      <c r="A43" s="655">
        <v>566</v>
      </c>
      <c r="B43" s="656" t="s">
        <v>33</v>
      </c>
      <c r="C43" s="655">
        <v>2</v>
      </c>
      <c r="D43" s="656" t="s">
        <v>85</v>
      </c>
      <c r="E43" s="656" t="s">
        <v>2124</v>
      </c>
      <c r="F43" s="655">
        <v>5221</v>
      </c>
      <c r="G43" s="656" t="s">
        <v>41</v>
      </c>
      <c r="H43" s="656" t="s">
        <v>1183</v>
      </c>
      <c r="I43" s="656" t="s">
        <v>58</v>
      </c>
      <c r="J43" s="655">
        <v>22</v>
      </c>
      <c r="K43" s="655">
        <v>2</v>
      </c>
      <c r="L43" s="656" t="s">
        <v>52</v>
      </c>
      <c r="M43" s="656" t="s">
        <v>42</v>
      </c>
      <c r="N43" s="656" t="s">
        <v>53</v>
      </c>
      <c r="O43" s="656" t="s">
        <v>53</v>
      </c>
      <c r="P43" s="656" t="s">
        <v>1176</v>
      </c>
      <c r="Q43" s="657">
        <v>0</v>
      </c>
      <c r="R43" s="657">
        <v>0</v>
      </c>
      <c r="S43" s="657">
        <v>0</v>
      </c>
      <c r="T43" s="657">
        <v>0</v>
      </c>
      <c r="U43" s="657">
        <v>6919561</v>
      </c>
      <c r="V43" s="655">
        <v>2021</v>
      </c>
      <c r="W43" s="659"/>
      <c r="X43" s="660" t="str">
        <f t="shared" si="2"/>
        <v/>
      </c>
      <c r="Y43" s="661" t="str">
        <f t="shared" si="0"/>
        <v/>
      </c>
      <c r="Z43" s="661" t="str">
        <f t="shared" si="1"/>
        <v/>
      </c>
    </row>
    <row r="44" spans="1:26" s="128" customFormat="1" ht="25" hidden="1">
      <c r="A44" s="655">
        <v>568</v>
      </c>
      <c r="B44" s="656" t="s">
        <v>33</v>
      </c>
      <c r="C44" s="655" t="s">
        <v>2793</v>
      </c>
      <c r="D44" s="656" t="s">
        <v>86</v>
      </c>
      <c r="E44" s="656" t="s">
        <v>87</v>
      </c>
      <c r="F44" s="655">
        <v>15452</v>
      </c>
      <c r="G44" s="656" t="s">
        <v>41</v>
      </c>
      <c r="H44" s="656" t="s">
        <v>1183</v>
      </c>
      <c r="I44" s="656" t="s">
        <v>58</v>
      </c>
      <c r="J44" s="655">
        <v>22</v>
      </c>
      <c r="K44" s="655">
        <v>2</v>
      </c>
      <c r="L44" s="656" t="s">
        <v>52</v>
      </c>
      <c r="M44" s="656" t="s">
        <v>38</v>
      </c>
      <c r="N44" s="656" t="s">
        <v>39</v>
      </c>
      <c r="O44" s="656" t="s">
        <v>39</v>
      </c>
      <c r="P44" s="656" t="s">
        <v>1037</v>
      </c>
      <c r="Q44" s="657">
        <v>12032530</v>
      </c>
      <c r="R44" s="657">
        <v>12032530</v>
      </c>
      <c r="S44" s="657">
        <v>12414559</v>
      </c>
      <c r="T44" s="657">
        <v>12414559</v>
      </c>
      <c r="U44" s="657">
        <v>1092471</v>
      </c>
      <c r="V44" s="655">
        <v>2021</v>
      </c>
      <c r="W44" s="659" t="s">
        <v>3675</v>
      </c>
      <c r="X44" s="660">
        <f t="shared" si="2"/>
        <v>11.363742378516227</v>
      </c>
      <c r="Y44" s="661" t="str">
        <f t="shared" si="0"/>
        <v/>
      </c>
      <c r="Z44" s="661" t="str">
        <f t="shared" si="1"/>
        <v/>
      </c>
    </row>
    <row r="45" spans="1:26" s="128" customFormat="1" ht="25" hidden="1">
      <c r="A45" s="655">
        <v>568</v>
      </c>
      <c r="B45" s="656" t="s">
        <v>33</v>
      </c>
      <c r="C45" s="655" t="s">
        <v>2793</v>
      </c>
      <c r="D45" s="656" t="s">
        <v>86</v>
      </c>
      <c r="E45" s="656" t="s">
        <v>87</v>
      </c>
      <c r="F45" s="655">
        <v>15452</v>
      </c>
      <c r="G45" s="656" t="s">
        <v>41</v>
      </c>
      <c r="H45" s="656" t="s">
        <v>1183</v>
      </c>
      <c r="I45" s="656" t="s">
        <v>58</v>
      </c>
      <c r="J45" s="655">
        <v>22</v>
      </c>
      <c r="K45" s="655">
        <v>2</v>
      </c>
      <c r="L45" s="656" t="s">
        <v>52</v>
      </c>
      <c r="M45" s="656" t="s">
        <v>41</v>
      </c>
      <c r="N45" s="656" t="s">
        <v>46</v>
      </c>
      <c r="O45" s="656" t="s">
        <v>46</v>
      </c>
      <c r="P45" s="656" t="s">
        <v>47</v>
      </c>
      <c r="Q45" s="657">
        <v>0</v>
      </c>
      <c r="R45" s="657">
        <v>0</v>
      </c>
      <c r="S45" s="657">
        <v>0</v>
      </c>
      <c r="T45" s="657">
        <v>0</v>
      </c>
      <c r="U45" s="657">
        <v>0</v>
      </c>
      <c r="V45" s="655">
        <v>2021</v>
      </c>
      <c r="W45" s="659" t="s">
        <v>3675</v>
      </c>
      <c r="X45" s="660" t="str">
        <f t="shared" si="2"/>
        <v/>
      </c>
      <c r="Y45" s="661" t="str">
        <f t="shared" si="0"/>
        <v/>
      </c>
      <c r="Z45" s="661" t="str">
        <f t="shared" si="1"/>
        <v/>
      </c>
    </row>
    <row r="46" spans="1:26" s="128" customFormat="1" ht="25" hidden="1">
      <c r="A46" s="655">
        <v>568</v>
      </c>
      <c r="B46" s="656" t="s">
        <v>33</v>
      </c>
      <c r="C46" s="655" t="s">
        <v>2793</v>
      </c>
      <c r="D46" s="656" t="s">
        <v>86</v>
      </c>
      <c r="E46" s="656" t="s">
        <v>87</v>
      </c>
      <c r="F46" s="655">
        <v>15452</v>
      </c>
      <c r="G46" s="656" t="s">
        <v>41</v>
      </c>
      <c r="H46" s="656" t="s">
        <v>1183</v>
      </c>
      <c r="I46" s="656" t="s">
        <v>58</v>
      </c>
      <c r="J46" s="655">
        <v>22</v>
      </c>
      <c r="K46" s="655">
        <v>2</v>
      </c>
      <c r="L46" s="656" t="s">
        <v>52</v>
      </c>
      <c r="M46" s="656" t="s">
        <v>41</v>
      </c>
      <c r="N46" s="656" t="s">
        <v>39</v>
      </c>
      <c r="O46" s="656" t="s">
        <v>39</v>
      </c>
      <c r="P46" s="656" t="s">
        <v>1037</v>
      </c>
      <c r="Q46" s="657">
        <v>11721873</v>
      </c>
      <c r="R46" s="657">
        <v>11721873</v>
      </c>
      <c r="S46" s="657">
        <v>12123695</v>
      </c>
      <c r="T46" s="657">
        <v>12123695</v>
      </c>
      <c r="U46" s="657">
        <v>2581214</v>
      </c>
      <c r="V46" s="655">
        <v>2021</v>
      </c>
      <c r="W46" s="659" t="s">
        <v>3675</v>
      </c>
      <c r="X46" s="660">
        <f t="shared" si="2"/>
        <v>4.6968964990891884</v>
      </c>
      <c r="Y46" s="661" t="str">
        <f t="shared" si="0"/>
        <v/>
      </c>
      <c r="Z46" s="661" t="str">
        <f t="shared" si="1"/>
        <v/>
      </c>
    </row>
    <row r="47" spans="1:26" s="128" customFormat="1" ht="25" hidden="1">
      <c r="A47" s="655">
        <v>568</v>
      </c>
      <c r="B47" s="656" t="s">
        <v>33</v>
      </c>
      <c r="C47" s="655" t="s">
        <v>2793</v>
      </c>
      <c r="D47" s="656" t="s">
        <v>86</v>
      </c>
      <c r="E47" s="656" t="s">
        <v>87</v>
      </c>
      <c r="F47" s="655">
        <v>15452</v>
      </c>
      <c r="G47" s="656" t="s">
        <v>41</v>
      </c>
      <c r="H47" s="656" t="s">
        <v>1183</v>
      </c>
      <c r="I47" s="656" t="s">
        <v>58</v>
      </c>
      <c r="J47" s="655">
        <v>22</v>
      </c>
      <c r="K47" s="655">
        <v>2</v>
      </c>
      <c r="L47" s="656" t="s">
        <v>52</v>
      </c>
      <c r="M47" s="656" t="s">
        <v>41</v>
      </c>
      <c r="N47" s="656" t="s">
        <v>61</v>
      </c>
      <c r="O47" s="656" t="s">
        <v>61</v>
      </c>
      <c r="P47" s="656" t="s">
        <v>47</v>
      </c>
      <c r="Q47" s="657">
        <v>0</v>
      </c>
      <c r="R47" s="657">
        <v>0</v>
      </c>
      <c r="S47" s="657">
        <v>0</v>
      </c>
      <c r="T47" s="657">
        <v>0</v>
      </c>
      <c r="U47" s="657">
        <v>0</v>
      </c>
      <c r="V47" s="655">
        <v>2021</v>
      </c>
      <c r="W47" s="659" t="s">
        <v>3675</v>
      </c>
      <c r="X47" s="660" t="str">
        <f t="shared" si="2"/>
        <v/>
      </c>
      <c r="Y47" s="661" t="str">
        <f t="shared" si="0"/>
        <v/>
      </c>
      <c r="Z47" s="661" t="str">
        <f t="shared" si="1"/>
        <v/>
      </c>
    </row>
    <row r="48" spans="1:26" s="128" customFormat="1" ht="25" hidden="1">
      <c r="A48" s="655">
        <v>568</v>
      </c>
      <c r="B48" s="656" t="s">
        <v>33</v>
      </c>
      <c r="C48" s="655" t="s">
        <v>2793</v>
      </c>
      <c r="D48" s="656" t="s">
        <v>86</v>
      </c>
      <c r="E48" s="656" t="s">
        <v>87</v>
      </c>
      <c r="F48" s="655">
        <v>15452</v>
      </c>
      <c r="G48" s="656" t="s">
        <v>41</v>
      </c>
      <c r="H48" s="656" t="s">
        <v>1183</v>
      </c>
      <c r="I48" s="656" t="s">
        <v>58</v>
      </c>
      <c r="J48" s="655">
        <v>22</v>
      </c>
      <c r="K48" s="655">
        <v>2</v>
      </c>
      <c r="L48" s="144" t="s">
        <v>52</v>
      </c>
      <c r="M48" s="656" t="s">
        <v>41</v>
      </c>
      <c r="N48" s="656" t="s">
        <v>48</v>
      </c>
      <c r="O48" s="656" t="s">
        <v>44</v>
      </c>
      <c r="P48" s="656" t="s">
        <v>45</v>
      </c>
      <c r="Q48" s="657">
        <v>0</v>
      </c>
      <c r="R48" s="657">
        <v>0</v>
      </c>
      <c r="S48" s="657">
        <v>0</v>
      </c>
      <c r="T48" s="657">
        <v>0</v>
      </c>
      <c r="U48" s="657">
        <v>0</v>
      </c>
      <c r="V48" s="655">
        <v>2021</v>
      </c>
      <c r="W48" s="659" t="s">
        <v>3675</v>
      </c>
      <c r="X48" s="660" t="str">
        <f t="shared" si="2"/>
        <v/>
      </c>
      <c r="Y48" s="661" t="str">
        <f t="shared" si="0"/>
        <v/>
      </c>
      <c r="Z48" s="661" t="str">
        <f t="shared" si="1"/>
        <v/>
      </c>
    </row>
    <row r="49" spans="1:26" s="128" customFormat="1" ht="25" hidden="1">
      <c r="A49" s="655">
        <v>568</v>
      </c>
      <c r="B49" s="656" t="s">
        <v>33</v>
      </c>
      <c r="C49" s="655" t="s">
        <v>2793</v>
      </c>
      <c r="D49" s="656" t="s">
        <v>86</v>
      </c>
      <c r="E49" s="656" t="s">
        <v>87</v>
      </c>
      <c r="F49" s="655">
        <v>15452</v>
      </c>
      <c r="G49" s="656" t="s">
        <v>41</v>
      </c>
      <c r="H49" s="656" t="s">
        <v>1183</v>
      </c>
      <c r="I49" s="656" t="s">
        <v>58</v>
      </c>
      <c r="J49" s="655">
        <v>22</v>
      </c>
      <c r="K49" s="655">
        <v>2</v>
      </c>
      <c r="L49" s="656" t="s">
        <v>52</v>
      </c>
      <c r="M49" s="656" t="s">
        <v>50</v>
      </c>
      <c r="N49" s="656" t="s">
        <v>76</v>
      </c>
      <c r="O49" s="656" t="s">
        <v>67</v>
      </c>
      <c r="P49" s="656" t="s">
        <v>47</v>
      </c>
      <c r="Q49" s="657">
        <v>0</v>
      </c>
      <c r="R49" s="657">
        <v>0</v>
      </c>
      <c r="S49" s="657">
        <v>0</v>
      </c>
      <c r="T49" s="657">
        <v>0</v>
      </c>
      <c r="U49" s="657">
        <v>0</v>
      </c>
      <c r="V49" s="655">
        <v>2021</v>
      </c>
      <c r="W49" s="659"/>
      <c r="X49" s="660" t="str">
        <f t="shared" si="2"/>
        <v/>
      </c>
      <c r="Y49" s="661" t="str">
        <f t="shared" si="0"/>
        <v/>
      </c>
      <c r="Z49" s="661" t="str">
        <f t="shared" si="1"/>
        <v/>
      </c>
    </row>
    <row r="50" spans="1:26" s="128" customFormat="1" ht="25" hidden="1">
      <c r="A50" s="655">
        <v>568</v>
      </c>
      <c r="B50" s="656" t="s">
        <v>33</v>
      </c>
      <c r="C50" s="655" t="s">
        <v>2793</v>
      </c>
      <c r="D50" s="656" t="s">
        <v>86</v>
      </c>
      <c r="E50" s="656" t="s">
        <v>87</v>
      </c>
      <c r="F50" s="655">
        <v>15452</v>
      </c>
      <c r="G50" s="656" t="s">
        <v>41</v>
      </c>
      <c r="H50" s="656" t="s">
        <v>1183</v>
      </c>
      <c r="I50" s="656" t="s">
        <v>58</v>
      </c>
      <c r="J50" s="655">
        <v>22</v>
      </c>
      <c r="K50" s="655">
        <v>2</v>
      </c>
      <c r="L50" s="656" t="s">
        <v>52</v>
      </c>
      <c r="M50" s="656" t="s">
        <v>42</v>
      </c>
      <c r="N50" s="656" t="s">
        <v>46</v>
      </c>
      <c r="O50" s="656" t="s">
        <v>46</v>
      </c>
      <c r="P50" s="656" t="s">
        <v>47</v>
      </c>
      <c r="Q50" s="657">
        <v>3891</v>
      </c>
      <c r="R50" s="657">
        <v>3891</v>
      </c>
      <c r="S50" s="657">
        <v>22716</v>
      </c>
      <c r="T50" s="657">
        <v>22716</v>
      </c>
      <c r="U50" s="657">
        <v>1289.874</v>
      </c>
      <c r="V50" s="655">
        <v>2021</v>
      </c>
      <c r="W50" s="659" t="s">
        <v>3675</v>
      </c>
      <c r="X50" s="660">
        <f t="shared" si="2"/>
        <v>17.611022471962379</v>
      </c>
      <c r="Y50" s="661" t="str">
        <f t="shared" si="0"/>
        <v/>
      </c>
      <c r="Z50" s="661" t="str">
        <f t="shared" si="1"/>
        <v/>
      </c>
    </row>
    <row r="51" spans="1:26" s="128" customFormat="1" ht="25" hidden="1">
      <c r="A51" s="655">
        <v>568</v>
      </c>
      <c r="B51" s="656" t="s">
        <v>33</v>
      </c>
      <c r="C51" s="655" t="s">
        <v>2793</v>
      </c>
      <c r="D51" s="656" t="s">
        <v>86</v>
      </c>
      <c r="E51" s="656" t="s">
        <v>87</v>
      </c>
      <c r="F51" s="655">
        <v>15452</v>
      </c>
      <c r="G51" s="656" t="s">
        <v>41</v>
      </c>
      <c r="H51" s="656" t="s">
        <v>1183</v>
      </c>
      <c r="I51" s="656" t="s">
        <v>58</v>
      </c>
      <c r="J51" s="655">
        <v>22</v>
      </c>
      <c r="K51" s="655">
        <v>2</v>
      </c>
      <c r="L51" s="656" t="s">
        <v>52</v>
      </c>
      <c r="M51" s="656" t="s">
        <v>42</v>
      </c>
      <c r="N51" s="656" t="s">
        <v>61</v>
      </c>
      <c r="O51" s="656" t="s">
        <v>61</v>
      </c>
      <c r="P51" s="656" t="s">
        <v>47</v>
      </c>
      <c r="Q51" s="657">
        <v>0</v>
      </c>
      <c r="R51" s="657">
        <v>0</v>
      </c>
      <c r="S51" s="657">
        <v>0</v>
      </c>
      <c r="T51" s="657">
        <v>0</v>
      </c>
      <c r="U51" s="657">
        <v>0</v>
      </c>
      <c r="V51" s="655">
        <v>2021</v>
      </c>
      <c r="W51" s="659" t="s">
        <v>3675</v>
      </c>
      <c r="X51" s="660" t="str">
        <f t="shared" si="2"/>
        <v/>
      </c>
      <c r="Y51" s="661" t="str">
        <f t="shared" si="0"/>
        <v/>
      </c>
      <c r="Z51" s="661" t="str">
        <f t="shared" si="1"/>
        <v/>
      </c>
    </row>
    <row r="52" spans="1:26" s="128" customFormat="1" ht="25" hidden="1">
      <c r="A52" s="655">
        <v>568</v>
      </c>
      <c r="B52" s="656" t="s">
        <v>33</v>
      </c>
      <c r="C52" s="655" t="s">
        <v>2793</v>
      </c>
      <c r="D52" s="656" t="s">
        <v>86</v>
      </c>
      <c r="E52" s="656" t="s">
        <v>87</v>
      </c>
      <c r="F52" s="655">
        <v>15452</v>
      </c>
      <c r="G52" s="656" t="s">
        <v>41</v>
      </c>
      <c r="H52" s="656" t="s">
        <v>1183</v>
      </c>
      <c r="I52" s="656" t="s">
        <v>58</v>
      </c>
      <c r="J52" s="655">
        <v>22</v>
      </c>
      <c r="K52" s="655">
        <v>2</v>
      </c>
      <c r="L52" s="656" t="s">
        <v>52</v>
      </c>
      <c r="M52" s="656" t="s">
        <v>42</v>
      </c>
      <c r="N52" s="656" t="s">
        <v>48</v>
      </c>
      <c r="O52" s="656" t="s">
        <v>44</v>
      </c>
      <c r="P52" s="656" t="s">
        <v>45</v>
      </c>
      <c r="Q52" s="657">
        <v>157874</v>
      </c>
      <c r="R52" s="657">
        <v>157874</v>
      </c>
      <c r="S52" s="657">
        <v>2879622</v>
      </c>
      <c r="T52" s="657">
        <v>2879622</v>
      </c>
      <c r="U52" s="657">
        <v>244647.13</v>
      </c>
      <c r="V52" s="655">
        <v>2021</v>
      </c>
      <c r="W52" s="659" t="s">
        <v>3675</v>
      </c>
      <c r="X52" s="660">
        <f t="shared" si="2"/>
        <v>11.770512084077994</v>
      </c>
      <c r="Y52" s="661" t="str">
        <f t="shared" si="0"/>
        <v/>
      </c>
      <c r="Z52" s="661" t="str">
        <f t="shared" si="1"/>
        <v/>
      </c>
    </row>
    <row r="53" spans="1:26" s="128" customFormat="1" ht="25" hidden="1">
      <c r="A53" s="655">
        <v>579</v>
      </c>
      <c r="B53" s="656" t="s">
        <v>33</v>
      </c>
      <c r="C53" s="655" t="s">
        <v>2793</v>
      </c>
      <c r="D53" s="656" t="s">
        <v>1038</v>
      </c>
      <c r="E53" s="656" t="s">
        <v>573</v>
      </c>
      <c r="F53" s="655">
        <v>3249</v>
      </c>
      <c r="G53" s="656" t="s">
        <v>57</v>
      </c>
      <c r="H53" s="656" t="s">
        <v>1182</v>
      </c>
      <c r="I53" s="656" t="s">
        <v>58</v>
      </c>
      <c r="J53" s="655">
        <v>22</v>
      </c>
      <c r="K53" s="655">
        <v>1</v>
      </c>
      <c r="L53" s="656" t="s">
        <v>34</v>
      </c>
      <c r="M53" s="656" t="s">
        <v>35</v>
      </c>
      <c r="N53" s="656" t="s">
        <v>36</v>
      </c>
      <c r="O53" s="656" t="s">
        <v>37</v>
      </c>
      <c r="P53" s="656" t="s">
        <v>1176</v>
      </c>
      <c r="Q53" s="657">
        <v>0</v>
      </c>
      <c r="R53" s="657">
        <v>0</v>
      </c>
      <c r="S53" s="657">
        <v>53686</v>
      </c>
      <c r="T53" s="657">
        <v>53686</v>
      </c>
      <c r="U53" s="657">
        <v>6071</v>
      </c>
      <c r="V53" s="655">
        <v>2021</v>
      </c>
      <c r="W53" s="659"/>
      <c r="X53" s="660">
        <f t="shared" si="2"/>
        <v>8.8430242134738926</v>
      </c>
      <c r="Y53" s="661" t="str">
        <f t="shared" si="0"/>
        <v/>
      </c>
      <c r="Z53" s="661" t="str">
        <f t="shared" si="1"/>
        <v/>
      </c>
    </row>
    <row r="54" spans="1:26" s="128" customFormat="1" hidden="1">
      <c r="A54" s="655">
        <v>581</v>
      </c>
      <c r="B54" s="656" t="s">
        <v>33</v>
      </c>
      <c r="C54" s="655" t="s">
        <v>2793</v>
      </c>
      <c r="D54" s="656" t="s">
        <v>574</v>
      </c>
      <c r="E54" s="656" t="s">
        <v>1039</v>
      </c>
      <c r="F54" s="655">
        <v>13831</v>
      </c>
      <c r="G54" s="656" t="s">
        <v>41</v>
      </c>
      <c r="H54" s="656" t="s">
        <v>1183</v>
      </c>
      <c r="I54" s="656" t="s">
        <v>58</v>
      </c>
      <c r="J54" s="655">
        <v>22</v>
      </c>
      <c r="K54" s="655">
        <v>1</v>
      </c>
      <c r="L54" s="656" t="s">
        <v>34</v>
      </c>
      <c r="M54" s="656" t="s">
        <v>50</v>
      </c>
      <c r="N54" s="656" t="s">
        <v>46</v>
      </c>
      <c r="O54" s="656" t="s">
        <v>46</v>
      </c>
      <c r="P54" s="656" t="s">
        <v>47</v>
      </c>
      <c r="Q54" s="657">
        <v>661</v>
      </c>
      <c r="R54" s="657">
        <v>661</v>
      </c>
      <c r="S54" s="657">
        <v>3846</v>
      </c>
      <c r="T54" s="657">
        <v>3846</v>
      </c>
      <c r="U54" s="657">
        <v>249</v>
      </c>
      <c r="V54" s="655">
        <v>2021</v>
      </c>
      <c r="W54" s="659"/>
      <c r="X54" s="660">
        <f t="shared" si="2"/>
        <v>15.445783132530121</v>
      </c>
      <c r="Y54" s="661" t="str">
        <f t="shared" si="0"/>
        <v/>
      </c>
      <c r="Z54" s="661" t="str">
        <f t="shared" si="1"/>
        <v/>
      </c>
    </row>
    <row r="55" spans="1:26" s="128" customFormat="1" hidden="1">
      <c r="A55" s="655">
        <v>583</v>
      </c>
      <c r="B55" s="656" t="s">
        <v>33</v>
      </c>
      <c r="C55" s="655" t="s">
        <v>2793</v>
      </c>
      <c r="D55" s="656" t="s">
        <v>575</v>
      </c>
      <c r="E55" s="656" t="s">
        <v>1039</v>
      </c>
      <c r="F55" s="655">
        <v>13831</v>
      </c>
      <c r="G55" s="656" t="s">
        <v>41</v>
      </c>
      <c r="H55" s="656" t="s">
        <v>1183</v>
      </c>
      <c r="I55" s="656" t="s">
        <v>58</v>
      </c>
      <c r="J55" s="655">
        <v>22</v>
      </c>
      <c r="K55" s="655">
        <v>1</v>
      </c>
      <c r="L55" s="656" t="s">
        <v>34</v>
      </c>
      <c r="M55" s="656" t="s">
        <v>35</v>
      </c>
      <c r="N55" s="656" t="s">
        <v>36</v>
      </c>
      <c r="O55" s="656" t="s">
        <v>37</v>
      </c>
      <c r="P55" s="656" t="s">
        <v>1176</v>
      </c>
      <c r="Q55" s="657">
        <v>0</v>
      </c>
      <c r="R55" s="657">
        <v>0</v>
      </c>
      <c r="S55" s="657">
        <v>53508</v>
      </c>
      <c r="T55" s="657">
        <v>53508</v>
      </c>
      <c r="U55" s="657">
        <v>6051</v>
      </c>
      <c r="V55" s="655">
        <v>2021</v>
      </c>
      <c r="W55" s="659"/>
      <c r="X55" s="660">
        <f t="shared" si="2"/>
        <v>8.8428358948934065</v>
      </c>
      <c r="Y55" s="661" t="str">
        <f t="shared" si="0"/>
        <v/>
      </c>
      <c r="Z55" s="661" t="str">
        <f t="shared" si="1"/>
        <v/>
      </c>
    </row>
    <row r="56" spans="1:26" s="128" customFormat="1" ht="25" hidden="1">
      <c r="A56" s="655">
        <v>589</v>
      </c>
      <c r="B56" s="656" t="s">
        <v>33</v>
      </c>
      <c r="C56" s="655" t="s">
        <v>2793</v>
      </c>
      <c r="D56" s="656" t="s">
        <v>88</v>
      </c>
      <c r="E56" s="656" t="s">
        <v>1099</v>
      </c>
      <c r="F56" s="655">
        <v>2548</v>
      </c>
      <c r="G56" s="656" t="s">
        <v>89</v>
      </c>
      <c r="H56" s="656" t="s">
        <v>1183</v>
      </c>
      <c r="I56" s="656" t="s">
        <v>58</v>
      </c>
      <c r="J56" s="655">
        <v>22</v>
      </c>
      <c r="K56" s="655">
        <v>1</v>
      </c>
      <c r="L56" s="656" t="s">
        <v>34</v>
      </c>
      <c r="M56" s="656" t="s">
        <v>42</v>
      </c>
      <c r="N56" s="656" t="s">
        <v>46</v>
      </c>
      <c r="O56" s="656" t="s">
        <v>46</v>
      </c>
      <c r="P56" s="656" t="s">
        <v>47</v>
      </c>
      <c r="Q56" s="657">
        <v>0</v>
      </c>
      <c r="R56" s="657">
        <v>0</v>
      </c>
      <c r="S56" s="657">
        <v>0</v>
      </c>
      <c r="T56" s="657">
        <v>0</v>
      </c>
      <c r="U56" s="657">
        <v>0</v>
      </c>
      <c r="V56" s="655">
        <v>2021</v>
      </c>
      <c r="W56" s="659"/>
      <c r="X56" s="660" t="str">
        <f t="shared" si="2"/>
        <v/>
      </c>
      <c r="Y56" s="661" t="str">
        <f t="shared" si="0"/>
        <v/>
      </c>
      <c r="Z56" s="661" t="str">
        <f t="shared" si="1"/>
        <v/>
      </c>
    </row>
    <row r="57" spans="1:26" s="128" customFormat="1" ht="25" hidden="1">
      <c r="A57" s="655">
        <v>589</v>
      </c>
      <c r="B57" s="656" t="s">
        <v>33</v>
      </c>
      <c r="C57" s="655" t="s">
        <v>2793</v>
      </c>
      <c r="D57" s="656" t="s">
        <v>88</v>
      </c>
      <c r="E57" s="656" t="s">
        <v>1099</v>
      </c>
      <c r="F57" s="655">
        <v>2548</v>
      </c>
      <c r="G57" s="656" t="s">
        <v>89</v>
      </c>
      <c r="H57" s="656" t="s">
        <v>1183</v>
      </c>
      <c r="I57" s="656" t="s">
        <v>58</v>
      </c>
      <c r="J57" s="655">
        <v>22</v>
      </c>
      <c r="K57" s="655">
        <v>1</v>
      </c>
      <c r="L57" s="656" t="s">
        <v>34</v>
      </c>
      <c r="M57" s="656" t="s">
        <v>42</v>
      </c>
      <c r="N57" s="656" t="s">
        <v>39</v>
      </c>
      <c r="O57" s="656" t="s">
        <v>39</v>
      </c>
      <c r="P57" s="656" t="s">
        <v>1037</v>
      </c>
      <c r="Q57" s="657">
        <v>7915</v>
      </c>
      <c r="R57" s="657">
        <v>7915</v>
      </c>
      <c r="S57" s="657">
        <v>8234</v>
      </c>
      <c r="T57" s="657">
        <v>8234</v>
      </c>
      <c r="U57" s="657">
        <v>553.58100000000002</v>
      </c>
      <c r="V57" s="655">
        <v>2021</v>
      </c>
      <c r="W57" s="659"/>
      <c r="X57" s="660">
        <f t="shared" si="2"/>
        <v>14.874065403256253</v>
      </c>
      <c r="Y57" s="661" t="str">
        <f t="shared" si="0"/>
        <v/>
      </c>
      <c r="Z57" s="661" t="str">
        <f t="shared" si="1"/>
        <v/>
      </c>
    </row>
    <row r="58" spans="1:26" s="128" customFormat="1" ht="25" hidden="1">
      <c r="A58" s="655">
        <v>589</v>
      </c>
      <c r="B58" s="656" t="s">
        <v>33</v>
      </c>
      <c r="C58" s="655" t="s">
        <v>2793</v>
      </c>
      <c r="D58" s="656" t="s">
        <v>88</v>
      </c>
      <c r="E58" s="656" t="s">
        <v>1099</v>
      </c>
      <c r="F58" s="655">
        <v>2548</v>
      </c>
      <c r="G58" s="656" t="s">
        <v>89</v>
      </c>
      <c r="H58" s="656" t="s">
        <v>1183</v>
      </c>
      <c r="I58" s="656" t="s">
        <v>58</v>
      </c>
      <c r="J58" s="655">
        <v>22</v>
      </c>
      <c r="K58" s="655">
        <v>1</v>
      </c>
      <c r="L58" s="656" t="s">
        <v>34</v>
      </c>
      <c r="M58" s="656" t="s">
        <v>42</v>
      </c>
      <c r="N58" s="656" t="s">
        <v>69</v>
      </c>
      <c r="O58" s="656" t="s">
        <v>70</v>
      </c>
      <c r="P58" s="656" t="s">
        <v>45</v>
      </c>
      <c r="Q58" s="657">
        <v>429326</v>
      </c>
      <c r="R58" s="657">
        <v>429326</v>
      </c>
      <c r="S58" s="657">
        <v>4078600</v>
      </c>
      <c r="T58" s="657">
        <v>4078600</v>
      </c>
      <c r="U58" s="657">
        <v>272801.42</v>
      </c>
      <c r="V58" s="655">
        <v>2021</v>
      </c>
      <c r="W58" s="659"/>
      <c r="X58" s="660">
        <f t="shared" si="2"/>
        <v>14.950801942306606</v>
      </c>
      <c r="Y58" s="661" t="str">
        <f t="shared" si="0"/>
        <v/>
      </c>
      <c r="Z58" s="661" t="str">
        <f t="shared" si="1"/>
        <v/>
      </c>
    </row>
    <row r="59" spans="1:26" s="128" customFormat="1" ht="25" hidden="1">
      <c r="A59" s="655">
        <v>625</v>
      </c>
      <c r="B59" s="656" t="s">
        <v>33</v>
      </c>
      <c r="C59" s="655" t="s">
        <v>2793</v>
      </c>
      <c r="D59" s="656" t="s">
        <v>576</v>
      </c>
      <c r="E59" s="656" t="s">
        <v>577</v>
      </c>
      <c r="F59" s="655">
        <v>13511</v>
      </c>
      <c r="G59" s="656" t="s">
        <v>57</v>
      </c>
      <c r="H59" s="656" t="s">
        <v>1182</v>
      </c>
      <c r="I59" s="656" t="s">
        <v>58</v>
      </c>
      <c r="J59" s="655">
        <v>22</v>
      </c>
      <c r="K59" s="655">
        <v>1</v>
      </c>
      <c r="L59" s="656" t="s">
        <v>34</v>
      </c>
      <c r="M59" s="656" t="s">
        <v>35</v>
      </c>
      <c r="N59" s="656" t="s">
        <v>36</v>
      </c>
      <c r="O59" s="656" t="s">
        <v>37</v>
      </c>
      <c r="P59" s="656" t="s">
        <v>1176</v>
      </c>
      <c r="Q59" s="657">
        <v>0</v>
      </c>
      <c r="R59" s="657">
        <v>0</v>
      </c>
      <c r="S59" s="657">
        <v>385327</v>
      </c>
      <c r="T59" s="657">
        <v>385327</v>
      </c>
      <c r="U59" s="657">
        <v>43574</v>
      </c>
      <c r="V59" s="655">
        <v>2021</v>
      </c>
      <c r="W59" s="659"/>
      <c r="X59" s="660">
        <f t="shared" si="2"/>
        <v>8.8430486069674572</v>
      </c>
      <c r="Y59" s="661" t="str">
        <f t="shared" si="0"/>
        <v/>
      </c>
      <c r="Z59" s="661" t="str">
        <f t="shared" si="1"/>
        <v/>
      </c>
    </row>
    <row r="60" spans="1:26" s="128" customFormat="1" hidden="1">
      <c r="A60" s="655">
        <v>678</v>
      </c>
      <c r="B60" s="656" t="s">
        <v>33</v>
      </c>
      <c r="C60" s="655" t="s">
        <v>2793</v>
      </c>
      <c r="D60" s="656" t="s">
        <v>578</v>
      </c>
      <c r="E60" s="656" t="s">
        <v>1566</v>
      </c>
      <c r="F60" s="655">
        <v>12989</v>
      </c>
      <c r="G60" s="656" t="s">
        <v>89</v>
      </c>
      <c r="H60" s="656" t="s">
        <v>1183</v>
      </c>
      <c r="I60" s="656" t="s">
        <v>58</v>
      </c>
      <c r="J60" s="655">
        <v>22</v>
      </c>
      <c r="K60" s="655">
        <v>1</v>
      </c>
      <c r="L60" s="656" t="s">
        <v>34</v>
      </c>
      <c r="M60" s="656" t="s">
        <v>35</v>
      </c>
      <c r="N60" s="656" t="s">
        <v>36</v>
      </c>
      <c r="O60" s="656" t="s">
        <v>37</v>
      </c>
      <c r="P60" s="656" t="s">
        <v>1176</v>
      </c>
      <c r="Q60" s="657">
        <v>0</v>
      </c>
      <c r="R60" s="657">
        <v>0</v>
      </c>
      <c r="S60" s="657">
        <v>3494</v>
      </c>
      <c r="T60" s="657">
        <v>3494</v>
      </c>
      <c r="U60" s="657">
        <v>395</v>
      </c>
      <c r="V60" s="655">
        <v>2021</v>
      </c>
      <c r="W60" s="659"/>
      <c r="X60" s="660">
        <f t="shared" si="2"/>
        <v>8.8455696202531637</v>
      </c>
      <c r="Y60" s="661" t="str">
        <f t="shared" si="0"/>
        <v/>
      </c>
      <c r="Z60" s="661" t="str">
        <f t="shared" si="1"/>
        <v/>
      </c>
    </row>
    <row r="61" spans="1:26" s="128" customFormat="1" ht="25" hidden="1">
      <c r="A61" s="655">
        <v>788</v>
      </c>
      <c r="B61" s="656" t="s">
        <v>33</v>
      </c>
      <c r="C61" s="655" t="s">
        <v>2793</v>
      </c>
      <c r="D61" s="656" t="s">
        <v>579</v>
      </c>
      <c r="E61" s="656" t="s">
        <v>132</v>
      </c>
      <c r="F61" s="655">
        <v>7601</v>
      </c>
      <c r="G61" s="656" t="s">
        <v>89</v>
      </c>
      <c r="H61" s="656" t="s">
        <v>1183</v>
      </c>
      <c r="I61" s="656" t="s">
        <v>58</v>
      </c>
      <c r="J61" s="655">
        <v>22</v>
      </c>
      <c r="K61" s="655">
        <v>1</v>
      </c>
      <c r="L61" s="656" t="s">
        <v>34</v>
      </c>
      <c r="M61" s="656" t="s">
        <v>35</v>
      </c>
      <c r="N61" s="656" t="s">
        <v>36</v>
      </c>
      <c r="O61" s="656" t="s">
        <v>37</v>
      </c>
      <c r="P61" s="656" t="s">
        <v>1176</v>
      </c>
      <c r="Q61" s="657">
        <v>0</v>
      </c>
      <c r="R61" s="657">
        <v>0</v>
      </c>
      <c r="S61" s="657">
        <v>10684</v>
      </c>
      <c r="T61" s="657">
        <v>10684</v>
      </c>
      <c r="U61" s="657">
        <v>1208</v>
      </c>
      <c r="V61" s="655">
        <v>2021</v>
      </c>
      <c r="W61" s="659"/>
      <c r="X61" s="660">
        <f t="shared" si="2"/>
        <v>8.8443708609271532</v>
      </c>
      <c r="Y61" s="661" t="str">
        <f t="shared" si="0"/>
        <v/>
      </c>
      <c r="Z61" s="661" t="str">
        <f t="shared" si="1"/>
        <v/>
      </c>
    </row>
    <row r="62" spans="1:26" s="128" customFormat="1" ht="25" hidden="1">
      <c r="A62" s="655">
        <v>805</v>
      </c>
      <c r="B62" s="656" t="s">
        <v>33</v>
      </c>
      <c r="C62" s="655" t="s">
        <v>2793</v>
      </c>
      <c r="D62" s="656" t="s">
        <v>580</v>
      </c>
      <c r="E62" s="656" t="s">
        <v>1185</v>
      </c>
      <c r="F62" s="655">
        <v>39006</v>
      </c>
      <c r="G62" s="656" t="s">
        <v>90</v>
      </c>
      <c r="H62" s="656" t="s">
        <v>1183</v>
      </c>
      <c r="I62" s="656" t="s">
        <v>58</v>
      </c>
      <c r="J62" s="655">
        <v>22</v>
      </c>
      <c r="K62" s="655">
        <v>2</v>
      </c>
      <c r="L62" s="656" t="s">
        <v>52</v>
      </c>
      <c r="M62" s="656" t="s">
        <v>35</v>
      </c>
      <c r="N62" s="656" t="s">
        <v>36</v>
      </c>
      <c r="O62" s="656" t="s">
        <v>37</v>
      </c>
      <c r="P62" s="656" t="s">
        <v>1176</v>
      </c>
      <c r="Q62" s="657">
        <v>0</v>
      </c>
      <c r="R62" s="657">
        <v>0</v>
      </c>
      <c r="S62" s="657">
        <v>969546</v>
      </c>
      <c r="T62" s="657">
        <v>969546</v>
      </c>
      <c r="U62" s="657">
        <v>109640</v>
      </c>
      <c r="V62" s="655">
        <v>2021</v>
      </c>
      <c r="W62" s="659"/>
      <c r="X62" s="660">
        <f t="shared" si="2"/>
        <v>8.8429952572054003</v>
      </c>
      <c r="Y62" s="661" t="str">
        <f t="shared" si="0"/>
        <v/>
      </c>
      <c r="Z62" s="661" t="str">
        <f t="shared" si="1"/>
        <v/>
      </c>
    </row>
    <row r="63" spans="1:26" s="128" customFormat="1" hidden="1">
      <c r="A63" s="655">
        <v>808</v>
      </c>
      <c r="B63" s="656" t="s">
        <v>33</v>
      </c>
      <c r="C63" s="655" t="s">
        <v>2793</v>
      </c>
      <c r="D63" s="656" t="s">
        <v>581</v>
      </c>
      <c r="E63" s="656" t="s">
        <v>56</v>
      </c>
      <c r="F63" s="655">
        <v>15296</v>
      </c>
      <c r="G63" s="656" t="s">
        <v>57</v>
      </c>
      <c r="H63" s="656" t="s">
        <v>1182</v>
      </c>
      <c r="I63" s="656" t="s">
        <v>58</v>
      </c>
      <c r="J63" s="655">
        <v>22</v>
      </c>
      <c r="K63" s="655">
        <v>1</v>
      </c>
      <c r="L63" s="656" t="s">
        <v>34</v>
      </c>
      <c r="M63" s="656" t="s">
        <v>35</v>
      </c>
      <c r="N63" s="656" t="s">
        <v>36</v>
      </c>
      <c r="O63" s="656" t="s">
        <v>37</v>
      </c>
      <c r="P63" s="656" t="s">
        <v>1176</v>
      </c>
      <c r="Q63" s="657">
        <v>0</v>
      </c>
      <c r="R63" s="657">
        <v>0</v>
      </c>
      <c r="S63" s="657">
        <v>249691</v>
      </c>
      <c r="T63" s="657">
        <v>249691</v>
      </c>
      <c r="U63" s="657">
        <v>28236</v>
      </c>
      <c r="V63" s="655">
        <v>2021</v>
      </c>
      <c r="W63" s="659"/>
      <c r="X63" s="660">
        <f t="shared" si="2"/>
        <v>8.8430018416206266</v>
      </c>
      <c r="Y63" s="661" t="str">
        <f t="shared" si="0"/>
        <v/>
      </c>
      <c r="Z63" s="661" t="str">
        <f t="shared" si="1"/>
        <v/>
      </c>
    </row>
    <row r="64" spans="1:26" s="128" customFormat="1" ht="25" hidden="1">
      <c r="A64" s="655">
        <v>1469</v>
      </c>
      <c r="B64" s="656" t="s">
        <v>33</v>
      </c>
      <c r="C64" s="655" t="s">
        <v>2793</v>
      </c>
      <c r="D64" s="656" t="s">
        <v>1186</v>
      </c>
      <c r="E64" s="656" t="s">
        <v>1567</v>
      </c>
      <c r="F64" s="655">
        <v>59178</v>
      </c>
      <c r="G64" s="656" t="s">
        <v>90</v>
      </c>
      <c r="H64" s="656" t="s">
        <v>1183</v>
      </c>
      <c r="I64" s="656" t="s">
        <v>58</v>
      </c>
      <c r="J64" s="655">
        <v>22</v>
      </c>
      <c r="K64" s="655">
        <v>2</v>
      </c>
      <c r="L64" s="656" t="s">
        <v>52</v>
      </c>
      <c r="M64" s="656" t="s">
        <v>35</v>
      </c>
      <c r="N64" s="656" t="s">
        <v>36</v>
      </c>
      <c r="O64" s="656" t="s">
        <v>37</v>
      </c>
      <c r="P64" s="656" t="s">
        <v>1176</v>
      </c>
      <c r="Q64" s="657">
        <v>0</v>
      </c>
      <c r="R64" s="657">
        <v>0</v>
      </c>
      <c r="S64" s="657">
        <v>232782</v>
      </c>
      <c r="T64" s="657">
        <v>232782</v>
      </c>
      <c r="U64" s="657">
        <v>26324</v>
      </c>
      <c r="V64" s="655">
        <v>2021</v>
      </c>
      <c r="W64" s="659"/>
      <c r="X64" s="660">
        <f t="shared" si="2"/>
        <v>8.8429569974168061</v>
      </c>
      <c r="Y64" s="661" t="str">
        <f t="shared" si="0"/>
        <v/>
      </c>
      <c r="Z64" s="661" t="str">
        <f t="shared" si="1"/>
        <v/>
      </c>
    </row>
    <row r="65" spans="1:26" s="128" customFormat="1" ht="25" hidden="1">
      <c r="A65" s="655">
        <v>1475</v>
      </c>
      <c r="B65" s="656" t="s">
        <v>33</v>
      </c>
      <c r="C65" s="655" t="s">
        <v>2793</v>
      </c>
      <c r="D65" s="656" t="s">
        <v>1187</v>
      </c>
      <c r="E65" s="656" t="s">
        <v>1567</v>
      </c>
      <c r="F65" s="655">
        <v>59178</v>
      </c>
      <c r="G65" s="656" t="s">
        <v>90</v>
      </c>
      <c r="H65" s="656" t="s">
        <v>1183</v>
      </c>
      <c r="I65" s="656" t="s">
        <v>58</v>
      </c>
      <c r="J65" s="655">
        <v>22</v>
      </c>
      <c r="K65" s="655">
        <v>2</v>
      </c>
      <c r="L65" s="656" t="s">
        <v>52</v>
      </c>
      <c r="M65" s="656" t="s">
        <v>35</v>
      </c>
      <c r="N65" s="656" t="s">
        <v>36</v>
      </c>
      <c r="O65" s="656" t="s">
        <v>37</v>
      </c>
      <c r="P65" s="656" t="s">
        <v>1176</v>
      </c>
      <c r="Q65" s="657">
        <v>0</v>
      </c>
      <c r="R65" s="657">
        <v>0</v>
      </c>
      <c r="S65" s="657">
        <v>394214</v>
      </c>
      <c r="T65" s="657">
        <v>394214</v>
      </c>
      <c r="U65" s="657">
        <v>44579</v>
      </c>
      <c r="V65" s="655">
        <v>2021</v>
      </c>
      <c r="W65" s="659"/>
      <c r="X65" s="660">
        <f t="shared" si="2"/>
        <v>8.8430426882612885</v>
      </c>
      <c r="Y65" s="661" t="str">
        <f t="shared" si="0"/>
        <v/>
      </c>
      <c r="Z65" s="661" t="str">
        <f t="shared" si="1"/>
        <v/>
      </c>
    </row>
    <row r="66" spans="1:26" s="128" customFormat="1" ht="25" hidden="1">
      <c r="A66" s="655">
        <v>1478</v>
      </c>
      <c r="B66" s="656" t="s">
        <v>33</v>
      </c>
      <c r="C66" s="655" t="s">
        <v>2793</v>
      </c>
      <c r="D66" s="656" t="s">
        <v>1188</v>
      </c>
      <c r="E66" s="656" t="s">
        <v>1567</v>
      </c>
      <c r="F66" s="655">
        <v>59178</v>
      </c>
      <c r="G66" s="656" t="s">
        <v>90</v>
      </c>
      <c r="H66" s="656" t="s">
        <v>1183</v>
      </c>
      <c r="I66" s="656" t="s">
        <v>58</v>
      </c>
      <c r="J66" s="655">
        <v>22</v>
      </c>
      <c r="K66" s="655">
        <v>2</v>
      </c>
      <c r="L66" s="656" t="s">
        <v>52</v>
      </c>
      <c r="M66" s="656" t="s">
        <v>35</v>
      </c>
      <c r="N66" s="656" t="s">
        <v>36</v>
      </c>
      <c r="O66" s="656" t="s">
        <v>37</v>
      </c>
      <c r="P66" s="656" t="s">
        <v>1176</v>
      </c>
      <c r="Q66" s="657">
        <v>0</v>
      </c>
      <c r="R66" s="657">
        <v>0</v>
      </c>
      <c r="S66" s="657">
        <v>64228</v>
      </c>
      <c r="T66" s="657">
        <v>64228</v>
      </c>
      <c r="U66" s="657">
        <v>7263</v>
      </c>
      <c r="V66" s="655">
        <v>2021</v>
      </c>
      <c r="W66" s="659"/>
      <c r="X66" s="660">
        <f t="shared" si="2"/>
        <v>8.8431777502409474</v>
      </c>
      <c r="Y66" s="661" t="str">
        <f t="shared" si="0"/>
        <v/>
      </c>
      <c r="Z66" s="661" t="str">
        <f t="shared" si="1"/>
        <v/>
      </c>
    </row>
    <row r="67" spans="1:26" s="128" customFormat="1" ht="25" hidden="1">
      <c r="A67" s="655">
        <v>1481</v>
      </c>
      <c r="B67" s="656" t="s">
        <v>33</v>
      </c>
      <c r="C67" s="655" t="s">
        <v>2793</v>
      </c>
      <c r="D67" s="656" t="s">
        <v>582</v>
      </c>
      <c r="E67" s="656" t="s">
        <v>1185</v>
      </c>
      <c r="F67" s="655">
        <v>39006</v>
      </c>
      <c r="G67" s="656" t="s">
        <v>90</v>
      </c>
      <c r="H67" s="656" t="s">
        <v>1183</v>
      </c>
      <c r="I67" s="656" t="s">
        <v>58</v>
      </c>
      <c r="J67" s="655">
        <v>22</v>
      </c>
      <c r="K67" s="655">
        <v>2</v>
      </c>
      <c r="L67" s="656" t="s">
        <v>52</v>
      </c>
      <c r="M67" s="656" t="s">
        <v>35</v>
      </c>
      <c r="N67" s="656" t="s">
        <v>36</v>
      </c>
      <c r="O67" s="656" t="s">
        <v>37</v>
      </c>
      <c r="P67" s="656" t="s">
        <v>1176</v>
      </c>
      <c r="Q67" s="657">
        <v>0</v>
      </c>
      <c r="R67" s="657">
        <v>0</v>
      </c>
      <c r="S67" s="657">
        <v>0</v>
      </c>
      <c r="T67" s="657">
        <v>0</v>
      </c>
      <c r="U67" s="657">
        <v>0</v>
      </c>
      <c r="V67" s="655">
        <v>2021</v>
      </c>
      <c r="W67" s="659"/>
      <c r="X67" s="660" t="str">
        <f t="shared" si="2"/>
        <v/>
      </c>
      <c r="Y67" s="661" t="str">
        <f t="shared" si="0"/>
        <v/>
      </c>
      <c r="Z67" s="661" t="str">
        <f t="shared" si="1"/>
        <v/>
      </c>
    </row>
    <row r="68" spans="1:26" s="128" customFormat="1" ht="25" hidden="1">
      <c r="A68" s="655">
        <v>1482</v>
      </c>
      <c r="B68" s="656" t="s">
        <v>33</v>
      </c>
      <c r="C68" s="655" t="s">
        <v>2793</v>
      </c>
      <c r="D68" s="656" t="s">
        <v>583</v>
      </c>
      <c r="E68" s="656" t="s">
        <v>1185</v>
      </c>
      <c r="F68" s="655">
        <v>39006</v>
      </c>
      <c r="G68" s="656" t="s">
        <v>90</v>
      </c>
      <c r="H68" s="656" t="s">
        <v>1183</v>
      </c>
      <c r="I68" s="656" t="s">
        <v>58</v>
      </c>
      <c r="J68" s="655">
        <v>22</v>
      </c>
      <c r="K68" s="655">
        <v>2</v>
      </c>
      <c r="L68" s="656" t="s">
        <v>52</v>
      </c>
      <c r="M68" s="656" t="s">
        <v>35</v>
      </c>
      <c r="N68" s="656" t="s">
        <v>36</v>
      </c>
      <c r="O68" s="656" t="s">
        <v>37</v>
      </c>
      <c r="P68" s="656" t="s">
        <v>1176</v>
      </c>
      <c r="Q68" s="657">
        <v>0</v>
      </c>
      <c r="R68" s="657">
        <v>0</v>
      </c>
      <c r="S68" s="657">
        <v>282800</v>
      </c>
      <c r="T68" s="657">
        <v>282800</v>
      </c>
      <c r="U68" s="657">
        <v>31980</v>
      </c>
      <c r="V68" s="655">
        <v>2021</v>
      </c>
      <c r="W68" s="659"/>
      <c r="X68" s="660">
        <f t="shared" si="2"/>
        <v>8.84302689180738</v>
      </c>
      <c r="Y68" s="661" t="str">
        <f t="shared" si="0"/>
        <v/>
      </c>
      <c r="Z68" s="661" t="str">
        <f t="shared" si="1"/>
        <v/>
      </c>
    </row>
    <row r="69" spans="1:26" s="128" customFormat="1" ht="25" hidden="1">
      <c r="A69" s="655">
        <v>1483</v>
      </c>
      <c r="B69" s="656" t="s">
        <v>33</v>
      </c>
      <c r="C69" s="655" t="s">
        <v>2793</v>
      </c>
      <c r="D69" s="656" t="s">
        <v>1568</v>
      </c>
      <c r="E69" s="656" t="s">
        <v>1185</v>
      </c>
      <c r="F69" s="655">
        <v>39006</v>
      </c>
      <c r="G69" s="656" t="s">
        <v>90</v>
      </c>
      <c r="H69" s="656" t="s">
        <v>1183</v>
      </c>
      <c r="I69" s="656" t="s">
        <v>58</v>
      </c>
      <c r="J69" s="655">
        <v>22</v>
      </c>
      <c r="K69" s="655">
        <v>2</v>
      </c>
      <c r="L69" s="656" t="s">
        <v>52</v>
      </c>
      <c r="M69" s="656" t="s">
        <v>35</v>
      </c>
      <c r="N69" s="656" t="s">
        <v>36</v>
      </c>
      <c r="O69" s="656" t="s">
        <v>37</v>
      </c>
      <c r="P69" s="656" t="s">
        <v>1176</v>
      </c>
      <c r="Q69" s="657">
        <v>0</v>
      </c>
      <c r="R69" s="657">
        <v>0</v>
      </c>
      <c r="S69" s="657">
        <v>525426</v>
      </c>
      <c r="T69" s="657">
        <v>525426</v>
      </c>
      <c r="U69" s="657">
        <v>59417</v>
      </c>
      <c r="V69" s="655">
        <v>2021</v>
      </c>
      <c r="W69" s="659"/>
      <c r="X69" s="660">
        <f t="shared" si="2"/>
        <v>8.8430247235639623</v>
      </c>
      <c r="Y69" s="661" t="str">
        <f t="shared" si="0"/>
        <v/>
      </c>
      <c r="Z69" s="661" t="str">
        <f t="shared" si="1"/>
        <v/>
      </c>
    </row>
    <row r="70" spans="1:26" s="128" customFormat="1" hidden="1">
      <c r="A70" s="655">
        <v>1484</v>
      </c>
      <c r="B70" s="656" t="s">
        <v>33</v>
      </c>
      <c r="C70" s="655" t="s">
        <v>2793</v>
      </c>
      <c r="D70" s="656" t="s">
        <v>584</v>
      </c>
      <c r="E70" s="656" t="s">
        <v>585</v>
      </c>
      <c r="F70" s="655">
        <v>14876</v>
      </c>
      <c r="G70" s="656" t="s">
        <v>90</v>
      </c>
      <c r="H70" s="656" t="s">
        <v>1183</v>
      </c>
      <c r="I70" s="656" t="s">
        <v>58</v>
      </c>
      <c r="J70" s="655">
        <v>22</v>
      </c>
      <c r="K70" s="655">
        <v>2</v>
      </c>
      <c r="L70" s="656" t="s">
        <v>52</v>
      </c>
      <c r="M70" s="656" t="s">
        <v>50</v>
      </c>
      <c r="N70" s="656" t="s">
        <v>46</v>
      </c>
      <c r="O70" s="656" t="s">
        <v>46</v>
      </c>
      <c r="P70" s="656" t="s">
        <v>47</v>
      </c>
      <c r="Q70" s="657">
        <v>903</v>
      </c>
      <c r="R70" s="657">
        <v>903</v>
      </c>
      <c r="S70" s="657">
        <v>5085</v>
      </c>
      <c r="T70" s="657">
        <v>5085</v>
      </c>
      <c r="U70" s="657">
        <v>251</v>
      </c>
      <c r="V70" s="655">
        <v>2021</v>
      </c>
      <c r="W70" s="659"/>
      <c r="X70" s="660">
        <f t="shared" si="2"/>
        <v>20.258964143426294</v>
      </c>
      <c r="Y70" s="661" t="str">
        <f t="shared" si="0"/>
        <v/>
      </c>
      <c r="Z70" s="661" t="str">
        <f t="shared" si="1"/>
        <v/>
      </c>
    </row>
    <row r="71" spans="1:26" s="128" customFormat="1" hidden="1">
      <c r="A71" s="655">
        <v>1484</v>
      </c>
      <c r="B71" s="656" t="s">
        <v>33</v>
      </c>
      <c r="C71" s="655" t="s">
        <v>2793</v>
      </c>
      <c r="D71" s="656" t="s">
        <v>584</v>
      </c>
      <c r="E71" s="656" t="s">
        <v>585</v>
      </c>
      <c r="F71" s="655">
        <v>14876</v>
      </c>
      <c r="G71" s="656" t="s">
        <v>90</v>
      </c>
      <c r="H71" s="656" t="s">
        <v>1183</v>
      </c>
      <c r="I71" s="656" t="s">
        <v>58</v>
      </c>
      <c r="J71" s="655">
        <v>22</v>
      </c>
      <c r="K71" s="655">
        <v>2</v>
      </c>
      <c r="L71" s="656" t="s">
        <v>52</v>
      </c>
      <c r="M71" s="656" t="s">
        <v>50</v>
      </c>
      <c r="N71" s="656" t="s">
        <v>66</v>
      </c>
      <c r="O71" s="656" t="s">
        <v>67</v>
      </c>
      <c r="P71" s="656" t="s">
        <v>47</v>
      </c>
      <c r="Q71" s="657">
        <v>0</v>
      </c>
      <c r="R71" s="657">
        <v>0</v>
      </c>
      <c r="S71" s="657">
        <v>0</v>
      </c>
      <c r="T71" s="657">
        <v>0</v>
      </c>
      <c r="U71" s="657">
        <v>0</v>
      </c>
      <c r="V71" s="655">
        <v>2021</v>
      </c>
      <c r="W71" s="659"/>
      <c r="X71" s="660" t="str">
        <f t="shared" si="2"/>
        <v/>
      </c>
      <c r="Y71" s="661" t="str">
        <f t="shared" ref="Y71:Y134" si="3">IF(AND($M71=$Y$2,$N71=$Y$3,NOT($Q71=$R71),NOT($U71=0)),IF($K71=5,$S71/($U71+(8/5)*$U71),IF($K71=7,$S71/($U71+(29/25)*$U71),"")),"")</f>
        <v/>
      </c>
      <c r="Z71" s="661" t="str">
        <f t="shared" ref="Z71:Z134" si="4">IF(AND($M71=$Y$2,$N71=$Y$4,NOT($Q71=$R71),NOT($U71=0)),IF($K71=5,$S71/($U71+(8/5)*$U71),IF($K71=7,$S71/($U71+(29/25)*$U71),"")),"")</f>
        <v/>
      </c>
    </row>
    <row r="72" spans="1:26" s="128" customFormat="1" ht="25" hidden="1">
      <c r="A72" s="655">
        <v>1486</v>
      </c>
      <c r="B72" s="656" t="s">
        <v>33</v>
      </c>
      <c r="C72" s="655" t="s">
        <v>2793</v>
      </c>
      <c r="D72" s="656" t="s">
        <v>1569</v>
      </c>
      <c r="E72" s="656" t="s">
        <v>1185</v>
      </c>
      <c r="F72" s="655">
        <v>39006</v>
      </c>
      <c r="G72" s="656" t="s">
        <v>90</v>
      </c>
      <c r="H72" s="656" t="s">
        <v>1183</v>
      </c>
      <c r="I72" s="656" t="s">
        <v>58</v>
      </c>
      <c r="J72" s="655">
        <v>22</v>
      </c>
      <c r="K72" s="655">
        <v>2</v>
      </c>
      <c r="L72" s="656" t="s">
        <v>52</v>
      </c>
      <c r="M72" s="656" t="s">
        <v>35</v>
      </c>
      <c r="N72" s="656" t="s">
        <v>36</v>
      </c>
      <c r="O72" s="656" t="s">
        <v>37</v>
      </c>
      <c r="P72" s="656" t="s">
        <v>1176</v>
      </c>
      <c r="Q72" s="657">
        <v>0</v>
      </c>
      <c r="R72" s="657">
        <v>0</v>
      </c>
      <c r="S72" s="657">
        <v>0</v>
      </c>
      <c r="T72" s="657">
        <v>0</v>
      </c>
      <c r="U72" s="657">
        <v>0</v>
      </c>
      <c r="V72" s="655">
        <v>2021</v>
      </c>
      <c r="W72" s="659"/>
      <c r="X72" s="660" t="str">
        <f t="shared" ref="X72:X135" si="5">IF(OR(K72&gt;3,T72=0,NOT(U72&gt;0)),"",T72/U72)</f>
        <v/>
      </c>
      <c r="Y72" s="661" t="str">
        <f t="shared" si="3"/>
        <v/>
      </c>
      <c r="Z72" s="661" t="str">
        <f t="shared" si="4"/>
        <v/>
      </c>
    </row>
    <row r="73" spans="1:26" s="128" customFormat="1" ht="25" hidden="1">
      <c r="A73" s="655">
        <v>1488</v>
      </c>
      <c r="B73" s="656" t="s">
        <v>33</v>
      </c>
      <c r="C73" s="655" t="s">
        <v>2793</v>
      </c>
      <c r="D73" s="656" t="s">
        <v>586</v>
      </c>
      <c r="E73" s="656" t="s">
        <v>1185</v>
      </c>
      <c r="F73" s="655">
        <v>39006</v>
      </c>
      <c r="G73" s="656" t="s">
        <v>90</v>
      </c>
      <c r="H73" s="656" t="s">
        <v>1183</v>
      </c>
      <c r="I73" s="656" t="s">
        <v>58</v>
      </c>
      <c r="J73" s="655">
        <v>22</v>
      </c>
      <c r="K73" s="655">
        <v>2</v>
      </c>
      <c r="L73" s="656" t="s">
        <v>52</v>
      </c>
      <c r="M73" s="656" t="s">
        <v>35</v>
      </c>
      <c r="N73" s="656" t="s">
        <v>36</v>
      </c>
      <c r="O73" s="656" t="s">
        <v>37</v>
      </c>
      <c r="P73" s="656" t="s">
        <v>1176</v>
      </c>
      <c r="Q73" s="657">
        <v>0</v>
      </c>
      <c r="R73" s="657">
        <v>0</v>
      </c>
      <c r="S73" s="657">
        <v>419311</v>
      </c>
      <c r="T73" s="657">
        <v>419311</v>
      </c>
      <c r="U73" s="657">
        <v>47417</v>
      </c>
      <c r="V73" s="655">
        <v>2021</v>
      </c>
      <c r="W73" s="659"/>
      <c r="X73" s="660">
        <f t="shared" si="5"/>
        <v>8.8430520699327246</v>
      </c>
      <c r="Y73" s="661" t="str">
        <f t="shared" si="3"/>
        <v/>
      </c>
      <c r="Z73" s="661" t="str">
        <f t="shared" si="4"/>
        <v/>
      </c>
    </row>
    <row r="74" spans="1:26" s="128" customFormat="1" ht="25" hidden="1">
      <c r="A74" s="655">
        <v>1491</v>
      </c>
      <c r="B74" s="656" t="s">
        <v>33</v>
      </c>
      <c r="C74" s="655" t="s">
        <v>2793</v>
      </c>
      <c r="D74" s="656" t="s">
        <v>587</v>
      </c>
      <c r="E74" s="656" t="s">
        <v>1185</v>
      </c>
      <c r="F74" s="655">
        <v>39006</v>
      </c>
      <c r="G74" s="656" t="s">
        <v>90</v>
      </c>
      <c r="H74" s="656" t="s">
        <v>1183</v>
      </c>
      <c r="I74" s="656" t="s">
        <v>58</v>
      </c>
      <c r="J74" s="655">
        <v>22</v>
      </c>
      <c r="K74" s="655">
        <v>2</v>
      </c>
      <c r="L74" s="656" t="s">
        <v>52</v>
      </c>
      <c r="M74" s="656" t="s">
        <v>35</v>
      </c>
      <c r="N74" s="656" t="s">
        <v>36</v>
      </c>
      <c r="O74" s="656" t="s">
        <v>37</v>
      </c>
      <c r="P74" s="656" t="s">
        <v>1176</v>
      </c>
      <c r="Q74" s="657">
        <v>0</v>
      </c>
      <c r="R74" s="657">
        <v>0</v>
      </c>
      <c r="S74" s="657">
        <v>930743</v>
      </c>
      <c r="T74" s="657">
        <v>930743</v>
      </c>
      <c r="U74" s="657">
        <v>105252</v>
      </c>
      <c r="V74" s="655">
        <v>2021</v>
      </c>
      <c r="W74" s="659"/>
      <c r="X74" s="660">
        <f t="shared" si="5"/>
        <v>8.8429958575609007</v>
      </c>
      <c r="Y74" s="661" t="str">
        <f t="shared" si="3"/>
        <v/>
      </c>
      <c r="Z74" s="661" t="str">
        <f t="shared" si="4"/>
        <v/>
      </c>
    </row>
    <row r="75" spans="1:26" s="128" customFormat="1" ht="25" hidden="1">
      <c r="A75" s="655">
        <v>1492</v>
      </c>
      <c r="B75" s="656" t="s">
        <v>33</v>
      </c>
      <c r="C75" s="655" t="s">
        <v>2793</v>
      </c>
      <c r="D75" s="656" t="s">
        <v>1570</v>
      </c>
      <c r="E75" s="656" t="s">
        <v>1185</v>
      </c>
      <c r="F75" s="655">
        <v>39006</v>
      </c>
      <c r="G75" s="656" t="s">
        <v>90</v>
      </c>
      <c r="H75" s="656" t="s">
        <v>1183</v>
      </c>
      <c r="I75" s="656" t="s">
        <v>58</v>
      </c>
      <c r="J75" s="655">
        <v>22</v>
      </c>
      <c r="K75" s="655">
        <v>2</v>
      </c>
      <c r="L75" s="656" t="s">
        <v>52</v>
      </c>
      <c r="M75" s="656" t="s">
        <v>35</v>
      </c>
      <c r="N75" s="656" t="s">
        <v>36</v>
      </c>
      <c r="O75" s="656" t="s">
        <v>37</v>
      </c>
      <c r="P75" s="656" t="s">
        <v>1176</v>
      </c>
      <c r="Q75" s="657">
        <v>0</v>
      </c>
      <c r="R75" s="657">
        <v>0</v>
      </c>
      <c r="S75" s="657">
        <v>1117021</v>
      </c>
      <c r="T75" s="657">
        <v>1117021</v>
      </c>
      <c r="U75" s="657">
        <v>126317</v>
      </c>
      <c r="V75" s="655">
        <v>2021</v>
      </c>
      <c r="W75" s="659"/>
      <c r="X75" s="660">
        <f t="shared" si="5"/>
        <v>8.8429981712675261</v>
      </c>
      <c r="Y75" s="661" t="str">
        <f t="shared" si="3"/>
        <v/>
      </c>
      <c r="Z75" s="661" t="str">
        <f t="shared" si="4"/>
        <v/>
      </c>
    </row>
    <row r="76" spans="1:26" s="128" customFormat="1" ht="25" hidden="1">
      <c r="A76" s="655">
        <v>1493</v>
      </c>
      <c r="B76" s="656" t="s">
        <v>33</v>
      </c>
      <c r="C76" s="655" t="s">
        <v>2793</v>
      </c>
      <c r="D76" s="656" t="s">
        <v>588</v>
      </c>
      <c r="E76" s="656" t="s">
        <v>1185</v>
      </c>
      <c r="F76" s="655">
        <v>39006</v>
      </c>
      <c r="G76" s="656" t="s">
        <v>90</v>
      </c>
      <c r="H76" s="656" t="s">
        <v>1183</v>
      </c>
      <c r="I76" s="656" t="s">
        <v>58</v>
      </c>
      <c r="J76" s="655">
        <v>22</v>
      </c>
      <c r="K76" s="655">
        <v>2</v>
      </c>
      <c r="L76" s="656" t="s">
        <v>52</v>
      </c>
      <c r="M76" s="656" t="s">
        <v>35</v>
      </c>
      <c r="N76" s="656" t="s">
        <v>36</v>
      </c>
      <c r="O76" s="656" t="s">
        <v>37</v>
      </c>
      <c r="P76" s="656" t="s">
        <v>1176</v>
      </c>
      <c r="Q76" s="657">
        <v>0</v>
      </c>
      <c r="R76" s="657">
        <v>0</v>
      </c>
      <c r="S76" s="657">
        <v>347504</v>
      </c>
      <c r="T76" s="657">
        <v>347504</v>
      </c>
      <c r="U76" s="657">
        <v>39297</v>
      </c>
      <c r="V76" s="655">
        <v>2021</v>
      </c>
      <c r="W76" s="659"/>
      <c r="X76" s="660">
        <f t="shared" si="5"/>
        <v>8.8430160063109149</v>
      </c>
      <c r="Y76" s="661" t="str">
        <f t="shared" si="3"/>
        <v/>
      </c>
      <c r="Z76" s="661" t="str">
        <f t="shared" si="4"/>
        <v/>
      </c>
    </row>
    <row r="77" spans="1:26" s="128" customFormat="1" ht="25" hidden="1">
      <c r="A77" s="655">
        <v>1497</v>
      </c>
      <c r="B77" s="656" t="s">
        <v>33</v>
      </c>
      <c r="C77" s="655" t="s">
        <v>2793</v>
      </c>
      <c r="D77" s="656" t="s">
        <v>589</v>
      </c>
      <c r="E77" s="656" t="s">
        <v>1040</v>
      </c>
      <c r="F77" s="655">
        <v>56854</v>
      </c>
      <c r="G77" s="656" t="s">
        <v>90</v>
      </c>
      <c r="H77" s="656" t="s">
        <v>1183</v>
      </c>
      <c r="I77" s="656" t="s">
        <v>58</v>
      </c>
      <c r="J77" s="655">
        <v>22</v>
      </c>
      <c r="K77" s="655">
        <v>2</v>
      </c>
      <c r="L77" s="656" t="s">
        <v>52</v>
      </c>
      <c r="M77" s="656" t="s">
        <v>35</v>
      </c>
      <c r="N77" s="656" t="s">
        <v>36</v>
      </c>
      <c r="O77" s="656" t="s">
        <v>37</v>
      </c>
      <c r="P77" s="656" t="s">
        <v>1176</v>
      </c>
      <c r="Q77" s="657">
        <v>0</v>
      </c>
      <c r="R77" s="657">
        <v>0</v>
      </c>
      <c r="S77" s="657">
        <v>71398</v>
      </c>
      <c r="T77" s="657">
        <v>71398</v>
      </c>
      <c r="U77" s="657">
        <v>8074</v>
      </c>
      <c r="V77" s="655">
        <v>2021</v>
      </c>
      <c r="W77" s="659"/>
      <c r="X77" s="660">
        <f t="shared" si="5"/>
        <v>8.8429526876393361</v>
      </c>
      <c r="Y77" s="661" t="str">
        <f t="shared" si="3"/>
        <v/>
      </c>
      <c r="Z77" s="661" t="str">
        <f t="shared" si="4"/>
        <v/>
      </c>
    </row>
    <row r="78" spans="1:26" s="128" customFormat="1" ht="25" hidden="1">
      <c r="A78" s="655">
        <v>1498</v>
      </c>
      <c r="B78" s="656" t="s">
        <v>33</v>
      </c>
      <c r="C78" s="655" t="s">
        <v>2793</v>
      </c>
      <c r="D78" s="656" t="s">
        <v>590</v>
      </c>
      <c r="E78" s="656" t="s">
        <v>1040</v>
      </c>
      <c r="F78" s="655">
        <v>56854</v>
      </c>
      <c r="G78" s="656" t="s">
        <v>90</v>
      </c>
      <c r="H78" s="656" t="s">
        <v>1183</v>
      </c>
      <c r="I78" s="656" t="s">
        <v>58</v>
      </c>
      <c r="J78" s="655">
        <v>22</v>
      </c>
      <c r="K78" s="655">
        <v>2</v>
      </c>
      <c r="L78" s="656" t="s">
        <v>52</v>
      </c>
      <c r="M78" s="656" t="s">
        <v>35</v>
      </c>
      <c r="N78" s="656" t="s">
        <v>36</v>
      </c>
      <c r="O78" s="656" t="s">
        <v>37</v>
      </c>
      <c r="P78" s="656" t="s">
        <v>1176</v>
      </c>
      <c r="Q78" s="657">
        <v>0</v>
      </c>
      <c r="R78" s="657">
        <v>0</v>
      </c>
      <c r="S78" s="657">
        <v>37167</v>
      </c>
      <c r="T78" s="657">
        <v>37167</v>
      </c>
      <c r="U78" s="657">
        <v>4203</v>
      </c>
      <c r="V78" s="655">
        <v>2021</v>
      </c>
      <c r="W78" s="659"/>
      <c r="X78" s="660">
        <f t="shared" si="5"/>
        <v>8.8429693076374019</v>
      </c>
      <c r="Y78" s="661" t="str">
        <f t="shared" si="3"/>
        <v/>
      </c>
      <c r="Z78" s="661" t="str">
        <f t="shared" si="4"/>
        <v/>
      </c>
    </row>
    <row r="79" spans="1:26" s="128" customFormat="1" ht="25" hidden="1">
      <c r="A79" s="655">
        <v>1500</v>
      </c>
      <c r="B79" s="656" t="s">
        <v>33</v>
      </c>
      <c r="C79" s="655" t="s">
        <v>2793</v>
      </c>
      <c r="D79" s="656" t="s">
        <v>1041</v>
      </c>
      <c r="E79" s="656" t="s">
        <v>1040</v>
      </c>
      <c r="F79" s="655">
        <v>56854</v>
      </c>
      <c r="G79" s="656" t="s">
        <v>90</v>
      </c>
      <c r="H79" s="656" t="s">
        <v>1183</v>
      </c>
      <c r="I79" s="656" t="s">
        <v>58</v>
      </c>
      <c r="J79" s="655">
        <v>22</v>
      </c>
      <c r="K79" s="655">
        <v>2</v>
      </c>
      <c r="L79" s="656" t="s">
        <v>52</v>
      </c>
      <c r="M79" s="656" t="s">
        <v>35</v>
      </c>
      <c r="N79" s="656" t="s">
        <v>36</v>
      </c>
      <c r="O79" s="656" t="s">
        <v>37</v>
      </c>
      <c r="P79" s="656" t="s">
        <v>1176</v>
      </c>
      <c r="Q79" s="657">
        <v>0</v>
      </c>
      <c r="R79" s="657">
        <v>0</v>
      </c>
      <c r="S79" s="657">
        <v>16995</v>
      </c>
      <c r="T79" s="657">
        <v>16995</v>
      </c>
      <c r="U79" s="657">
        <v>1922</v>
      </c>
      <c r="V79" s="655">
        <v>2021</v>
      </c>
      <c r="W79" s="659"/>
      <c r="X79" s="660">
        <f t="shared" si="5"/>
        <v>8.8423517169614989</v>
      </c>
      <c r="Y79" s="661" t="str">
        <f t="shared" si="3"/>
        <v/>
      </c>
      <c r="Z79" s="661" t="str">
        <f t="shared" si="4"/>
        <v/>
      </c>
    </row>
    <row r="80" spans="1:26" s="128" customFormat="1" ht="25" hidden="1">
      <c r="A80" s="655">
        <v>1501</v>
      </c>
      <c r="B80" s="656" t="s">
        <v>33</v>
      </c>
      <c r="C80" s="655" t="s">
        <v>2793</v>
      </c>
      <c r="D80" s="656" t="s">
        <v>591</v>
      </c>
      <c r="E80" s="656" t="s">
        <v>1185</v>
      </c>
      <c r="F80" s="655">
        <v>39006</v>
      </c>
      <c r="G80" s="656" t="s">
        <v>90</v>
      </c>
      <c r="H80" s="656" t="s">
        <v>1183</v>
      </c>
      <c r="I80" s="656" t="s">
        <v>58</v>
      </c>
      <c r="J80" s="655">
        <v>22</v>
      </c>
      <c r="K80" s="655">
        <v>2</v>
      </c>
      <c r="L80" s="656" t="s">
        <v>52</v>
      </c>
      <c r="M80" s="656" t="s">
        <v>35</v>
      </c>
      <c r="N80" s="656" t="s">
        <v>36</v>
      </c>
      <c r="O80" s="656" t="s">
        <v>37</v>
      </c>
      <c r="P80" s="656" t="s">
        <v>1176</v>
      </c>
      <c r="Q80" s="657">
        <v>0</v>
      </c>
      <c r="R80" s="657">
        <v>0</v>
      </c>
      <c r="S80" s="657">
        <v>62006</v>
      </c>
      <c r="T80" s="657">
        <v>62006</v>
      </c>
      <c r="U80" s="657">
        <v>7012</v>
      </c>
      <c r="V80" s="655">
        <v>2021</v>
      </c>
      <c r="W80" s="659"/>
      <c r="X80" s="660">
        <f t="shared" si="5"/>
        <v>8.8428408442669717</v>
      </c>
      <c r="Y80" s="661" t="str">
        <f t="shared" si="3"/>
        <v/>
      </c>
      <c r="Z80" s="661" t="str">
        <f t="shared" si="4"/>
        <v/>
      </c>
    </row>
    <row r="81" spans="1:26" s="128" customFormat="1" ht="25" hidden="1">
      <c r="A81" s="655">
        <v>1504</v>
      </c>
      <c r="B81" s="656" t="s">
        <v>33</v>
      </c>
      <c r="C81" s="655" t="s">
        <v>2793</v>
      </c>
      <c r="D81" s="656" t="s">
        <v>592</v>
      </c>
      <c r="E81" s="656" t="s">
        <v>1185</v>
      </c>
      <c r="F81" s="655">
        <v>39006</v>
      </c>
      <c r="G81" s="656" t="s">
        <v>90</v>
      </c>
      <c r="H81" s="656" t="s">
        <v>1183</v>
      </c>
      <c r="I81" s="656" t="s">
        <v>58</v>
      </c>
      <c r="J81" s="655">
        <v>22</v>
      </c>
      <c r="K81" s="655">
        <v>2</v>
      </c>
      <c r="L81" s="656" t="s">
        <v>52</v>
      </c>
      <c r="M81" s="656" t="s">
        <v>35</v>
      </c>
      <c r="N81" s="656" t="s">
        <v>36</v>
      </c>
      <c r="O81" s="656" t="s">
        <v>37</v>
      </c>
      <c r="P81" s="656" t="s">
        <v>1176</v>
      </c>
      <c r="Q81" s="657">
        <v>0</v>
      </c>
      <c r="R81" s="657">
        <v>0</v>
      </c>
      <c r="S81" s="657">
        <v>283691</v>
      </c>
      <c r="T81" s="657">
        <v>283691</v>
      </c>
      <c r="U81" s="657">
        <v>32081</v>
      </c>
      <c r="V81" s="655">
        <v>2021</v>
      </c>
      <c r="W81" s="659"/>
      <c r="X81" s="660">
        <f t="shared" si="5"/>
        <v>8.8429600074810644</v>
      </c>
      <c r="Y81" s="661" t="str">
        <f t="shared" si="3"/>
        <v/>
      </c>
      <c r="Z81" s="661" t="str">
        <f t="shared" si="4"/>
        <v/>
      </c>
    </row>
    <row r="82" spans="1:26" s="128" customFormat="1" ht="25" hidden="1">
      <c r="A82" s="655">
        <v>1505</v>
      </c>
      <c r="B82" s="656" t="s">
        <v>33</v>
      </c>
      <c r="C82" s="655" t="s">
        <v>2793</v>
      </c>
      <c r="D82" s="656" t="s">
        <v>593</v>
      </c>
      <c r="E82" s="656" t="s">
        <v>1185</v>
      </c>
      <c r="F82" s="655">
        <v>39006</v>
      </c>
      <c r="G82" s="656" t="s">
        <v>90</v>
      </c>
      <c r="H82" s="656" t="s">
        <v>1183</v>
      </c>
      <c r="I82" s="656" t="s">
        <v>58</v>
      </c>
      <c r="J82" s="655">
        <v>22</v>
      </c>
      <c r="K82" s="655">
        <v>2</v>
      </c>
      <c r="L82" s="656" t="s">
        <v>52</v>
      </c>
      <c r="M82" s="656" t="s">
        <v>35</v>
      </c>
      <c r="N82" s="656" t="s">
        <v>36</v>
      </c>
      <c r="O82" s="656" t="s">
        <v>37</v>
      </c>
      <c r="P82" s="656" t="s">
        <v>1176</v>
      </c>
      <c r="Q82" s="657">
        <v>0</v>
      </c>
      <c r="R82" s="657">
        <v>0</v>
      </c>
      <c r="S82" s="657">
        <v>831003</v>
      </c>
      <c r="T82" s="657">
        <v>831003</v>
      </c>
      <c r="U82" s="657">
        <v>93973</v>
      </c>
      <c r="V82" s="655">
        <v>2021</v>
      </c>
      <c r="W82" s="659"/>
      <c r="X82" s="660">
        <f t="shared" si="5"/>
        <v>8.8429974567162901</v>
      </c>
      <c r="Y82" s="661" t="str">
        <f t="shared" si="3"/>
        <v/>
      </c>
      <c r="Z82" s="661" t="str">
        <f t="shared" si="4"/>
        <v/>
      </c>
    </row>
    <row r="83" spans="1:26" s="128" customFormat="1" ht="25" hidden="1">
      <c r="A83" s="655">
        <v>1507</v>
      </c>
      <c r="B83" s="656" t="s">
        <v>33</v>
      </c>
      <c r="C83" s="655" t="s">
        <v>2793</v>
      </c>
      <c r="D83" s="656" t="s">
        <v>2795</v>
      </c>
      <c r="E83" s="656" t="s">
        <v>5</v>
      </c>
      <c r="F83" s="655">
        <v>31719</v>
      </c>
      <c r="G83" s="656" t="s">
        <v>90</v>
      </c>
      <c r="H83" s="656" t="s">
        <v>1183</v>
      </c>
      <c r="I83" s="656" t="s">
        <v>58</v>
      </c>
      <c r="J83" s="655">
        <v>22</v>
      </c>
      <c r="K83" s="655">
        <v>2</v>
      </c>
      <c r="L83" s="656" t="s">
        <v>52</v>
      </c>
      <c r="M83" s="656" t="s">
        <v>1890</v>
      </c>
      <c r="N83" s="656" t="s">
        <v>1052</v>
      </c>
      <c r="O83" s="656" t="s">
        <v>82</v>
      </c>
      <c r="P83" s="656" t="s">
        <v>2794</v>
      </c>
      <c r="Q83" s="657">
        <v>12316</v>
      </c>
      <c r="R83" s="657">
        <v>12316</v>
      </c>
      <c r="S83" s="657">
        <v>0</v>
      </c>
      <c r="T83" s="657">
        <v>0</v>
      </c>
      <c r="U83" s="657">
        <v>-2074</v>
      </c>
      <c r="V83" s="655">
        <v>2021</v>
      </c>
      <c r="W83" s="659"/>
      <c r="X83" s="660" t="str">
        <f t="shared" si="5"/>
        <v/>
      </c>
      <c r="Y83" s="661" t="str">
        <f t="shared" si="3"/>
        <v/>
      </c>
      <c r="Z83" s="661" t="str">
        <f t="shared" si="4"/>
        <v/>
      </c>
    </row>
    <row r="84" spans="1:26" s="128" customFormat="1" hidden="1">
      <c r="A84" s="655">
        <v>1507</v>
      </c>
      <c r="B84" s="656" t="s">
        <v>33</v>
      </c>
      <c r="C84" s="655" t="s">
        <v>2793</v>
      </c>
      <c r="D84" s="656" t="s">
        <v>2795</v>
      </c>
      <c r="E84" s="656" t="s">
        <v>5</v>
      </c>
      <c r="F84" s="655">
        <v>31719</v>
      </c>
      <c r="G84" s="656" t="s">
        <v>90</v>
      </c>
      <c r="H84" s="656" t="s">
        <v>1183</v>
      </c>
      <c r="I84" s="656" t="s">
        <v>58</v>
      </c>
      <c r="J84" s="655">
        <v>22</v>
      </c>
      <c r="K84" s="655">
        <v>2</v>
      </c>
      <c r="L84" s="656" t="s">
        <v>52</v>
      </c>
      <c r="M84" s="656" t="s">
        <v>42</v>
      </c>
      <c r="N84" s="656" t="s">
        <v>46</v>
      </c>
      <c r="O84" s="656" t="s">
        <v>46</v>
      </c>
      <c r="P84" s="656" t="s">
        <v>47</v>
      </c>
      <c r="Q84" s="657">
        <v>3048</v>
      </c>
      <c r="R84" s="657">
        <v>3048</v>
      </c>
      <c r="S84" s="657">
        <v>17687</v>
      </c>
      <c r="T84" s="657">
        <v>17687</v>
      </c>
      <c r="U84" s="657">
        <v>324.685</v>
      </c>
      <c r="V84" s="655">
        <v>2021</v>
      </c>
      <c r="W84" s="659" t="s">
        <v>3675</v>
      </c>
      <c r="X84" s="660">
        <f t="shared" si="5"/>
        <v>54.474336664767392</v>
      </c>
      <c r="Y84" s="661" t="str">
        <f t="shared" si="3"/>
        <v/>
      </c>
      <c r="Z84" s="661" t="str">
        <f t="shared" si="4"/>
        <v/>
      </c>
    </row>
    <row r="85" spans="1:26" s="128" customFormat="1" hidden="1">
      <c r="A85" s="655">
        <v>1507</v>
      </c>
      <c r="B85" s="656" t="s">
        <v>33</v>
      </c>
      <c r="C85" s="655" t="s">
        <v>2793</v>
      </c>
      <c r="D85" s="656" t="s">
        <v>2795</v>
      </c>
      <c r="E85" s="656" t="s">
        <v>5</v>
      </c>
      <c r="F85" s="655">
        <v>31719</v>
      </c>
      <c r="G85" s="656" t="s">
        <v>90</v>
      </c>
      <c r="H85" s="656" t="s">
        <v>1183</v>
      </c>
      <c r="I85" s="656" t="s">
        <v>58</v>
      </c>
      <c r="J85" s="655">
        <v>22</v>
      </c>
      <c r="K85" s="655">
        <v>2</v>
      </c>
      <c r="L85" s="656" t="s">
        <v>52</v>
      </c>
      <c r="M85" s="656" t="s">
        <v>42</v>
      </c>
      <c r="N85" s="656" t="s">
        <v>61</v>
      </c>
      <c r="O85" s="656" t="s">
        <v>61</v>
      </c>
      <c r="P85" s="656" t="s">
        <v>47</v>
      </c>
      <c r="Q85" s="657">
        <v>25658</v>
      </c>
      <c r="R85" s="657">
        <v>25658</v>
      </c>
      <c r="S85" s="657">
        <v>158995</v>
      </c>
      <c r="T85" s="657">
        <v>158995</v>
      </c>
      <c r="U85" s="657">
        <v>7658.3149999999996</v>
      </c>
      <c r="V85" s="655">
        <v>2021</v>
      </c>
      <c r="W85" s="659" t="s">
        <v>3675</v>
      </c>
      <c r="X85" s="660">
        <f t="shared" si="5"/>
        <v>20.76109431382752</v>
      </c>
      <c r="Y85" s="661" t="str">
        <f t="shared" si="3"/>
        <v/>
      </c>
      <c r="Z85" s="661" t="str">
        <f t="shared" si="4"/>
        <v/>
      </c>
    </row>
    <row r="86" spans="1:26" s="128" customFormat="1" ht="25" hidden="1">
      <c r="A86" s="655">
        <v>1508</v>
      </c>
      <c r="B86" s="656" t="s">
        <v>33</v>
      </c>
      <c r="C86" s="655" t="s">
        <v>2793</v>
      </c>
      <c r="D86" s="656" t="s">
        <v>594</v>
      </c>
      <c r="E86" s="656" t="s">
        <v>1185</v>
      </c>
      <c r="F86" s="655">
        <v>39006</v>
      </c>
      <c r="G86" s="656" t="s">
        <v>90</v>
      </c>
      <c r="H86" s="656" t="s">
        <v>1183</v>
      </c>
      <c r="I86" s="656" t="s">
        <v>58</v>
      </c>
      <c r="J86" s="655">
        <v>22</v>
      </c>
      <c r="K86" s="655">
        <v>2</v>
      </c>
      <c r="L86" s="656" t="s">
        <v>52</v>
      </c>
      <c r="M86" s="656" t="s">
        <v>35</v>
      </c>
      <c r="N86" s="656" t="s">
        <v>36</v>
      </c>
      <c r="O86" s="656" t="s">
        <v>37</v>
      </c>
      <c r="P86" s="656" t="s">
        <v>1176</v>
      </c>
      <c r="Q86" s="657">
        <v>0</v>
      </c>
      <c r="R86" s="657">
        <v>0</v>
      </c>
      <c r="S86" s="657">
        <v>168194</v>
      </c>
      <c r="T86" s="657">
        <v>168194</v>
      </c>
      <c r="U86" s="657">
        <v>19020</v>
      </c>
      <c r="V86" s="655">
        <v>2021</v>
      </c>
      <c r="W86" s="659"/>
      <c r="X86" s="660">
        <f t="shared" si="5"/>
        <v>8.843007360672976</v>
      </c>
      <c r="Y86" s="661" t="str">
        <f t="shared" si="3"/>
        <v/>
      </c>
      <c r="Z86" s="661" t="str">
        <f t="shared" si="4"/>
        <v/>
      </c>
    </row>
    <row r="87" spans="1:26" s="128" customFormat="1" ht="25" hidden="1">
      <c r="A87" s="655">
        <v>1509</v>
      </c>
      <c r="B87" s="656" t="s">
        <v>33</v>
      </c>
      <c r="C87" s="655" t="s">
        <v>2793</v>
      </c>
      <c r="D87" s="656" t="s">
        <v>1571</v>
      </c>
      <c r="E87" s="656" t="s">
        <v>1185</v>
      </c>
      <c r="F87" s="655">
        <v>39006</v>
      </c>
      <c r="G87" s="656" t="s">
        <v>90</v>
      </c>
      <c r="H87" s="656" t="s">
        <v>1183</v>
      </c>
      <c r="I87" s="656" t="s">
        <v>58</v>
      </c>
      <c r="J87" s="655">
        <v>22</v>
      </c>
      <c r="K87" s="655">
        <v>2</v>
      </c>
      <c r="L87" s="656" t="s">
        <v>52</v>
      </c>
      <c r="M87" s="656" t="s">
        <v>35</v>
      </c>
      <c r="N87" s="656" t="s">
        <v>36</v>
      </c>
      <c r="O87" s="656" t="s">
        <v>37</v>
      </c>
      <c r="P87" s="656" t="s">
        <v>1176</v>
      </c>
      <c r="Q87" s="657">
        <v>0</v>
      </c>
      <c r="R87" s="657">
        <v>0</v>
      </c>
      <c r="S87" s="657">
        <v>502636</v>
      </c>
      <c r="T87" s="657">
        <v>502636</v>
      </c>
      <c r="U87" s="657">
        <v>56840</v>
      </c>
      <c r="V87" s="655">
        <v>2021</v>
      </c>
      <c r="W87" s="659"/>
      <c r="X87" s="660">
        <f t="shared" si="5"/>
        <v>8.8429978888106966</v>
      </c>
      <c r="Y87" s="661" t="str">
        <f t="shared" si="3"/>
        <v/>
      </c>
      <c r="Z87" s="661" t="str">
        <f t="shared" si="4"/>
        <v/>
      </c>
    </row>
    <row r="88" spans="1:26" s="128" customFormat="1" ht="25" hidden="1">
      <c r="A88" s="655">
        <v>1510</v>
      </c>
      <c r="B88" s="656" t="s">
        <v>33</v>
      </c>
      <c r="C88" s="655" t="s">
        <v>2793</v>
      </c>
      <c r="D88" s="656" t="s">
        <v>1572</v>
      </c>
      <c r="E88" s="656" t="s">
        <v>1185</v>
      </c>
      <c r="F88" s="655">
        <v>39006</v>
      </c>
      <c r="G88" s="656" t="s">
        <v>90</v>
      </c>
      <c r="H88" s="656" t="s">
        <v>1183</v>
      </c>
      <c r="I88" s="656" t="s">
        <v>58</v>
      </c>
      <c r="J88" s="655">
        <v>22</v>
      </c>
      <c r="K88" s="655">
        <v>2</v>
      </c>
      <c r="L88" s="656" t="s">
        <v>52</v>
      </c>
      <c r="M88" s="656" t="s">
        <v>35</v>
      </c>
      <c r="N88" s="656" t="s">
        <v>36</v>
      </c>
      <c r="O88" s="656" t="s">
        <v>37</v>
      </c>
      <c r="P88" s="656" t="s">
        <v>1176</v>
      </c>
      <c r="Q88" s="657">
        <v>0</v>
      </c>
      <c r="R88" s="657">
        <v>0</v>
      </c>
      <c r="S88" s="657">
        <v>540873</v>
      </c>
      <c r="T88" s="657">
        <v>540873</v>
      </c>
      <c r="U88" s="657">
        <v>61164</v>
      </c>
      <c r="V88" s="655">
        <v>2021</v>
      </c>
      <c r="W88" s="659"/>
      <c r="X88" s="660">
        <f t="shared" si="5"/>
        <v>8.8429958799293704</v>
      </c>
      <c r="Y88" s="661" t="str">
        <f t="shared" si="3"/>
        <v/>
      </c>
      <c r="Z88" s="661" t="str">
        <f t="shared" si="4"/>
        <v/>
      </c>
    </row>
    <row r="89" spans="1:26" s="128" customFormat="1" ht="25" hidden="1">
      <c r="A89" s="655">
        <v>1511</v>
      </c>
      <c r="B89" s="656" t="s">
        <v>33</v>
      </c>
      <c r="C89" s="655" t="s">
        <v>2793</v>
      </c>
      <c r="D89" s="656" t="s">
        <v>6</v>
      </c>
      <c r="E89" s="656" t="s">
        <v>1185</v>
      </c>
      <c r="F89" s="655">
        <v>39006</v>
      </c>
      <c r="G89" s="656" t="s">
        <v>90</v>
      </c>
      <c r="H89" s="656" t="s">
        <v>1183</v>
      </c>
      <c r="I89" s="656" t="s">
        <v>58</v>
      </c>
      <c r="J89" s="655">
        <v>22</v>
      </c>
      <c r="K89" s="655">
        <v>2</v>
      </c>
      <c r="L89" s="656" t="s">
        <v>52</v>
      </c>
      <c r="M89" s="656" t="s">
        <v>35</v>
      </c>
      <c r="N89" s="656" t="s">
        <v>36</v>
      </c>
      <c r="O89" s="656" t="s">
        <v>37</v>
      </c>
      <c r="P89" s="656" t="s">
        <v>1176</v>
      </c>
      <c r="Q89" s="657">
        <v>0</v>
      </c>
      <c r="R89" s="657">
        <v>0</v>
      </c>
      <c r="S89" s="657">
        <v>2031635</v>
      </c>
      <c r="T89" s="657">
        <v>2031635</v>
      </c>
      <c r="U89" s="657">
        <v>229745</v>
      </c>
      <c r="V89" s="655">
        <v>2021</v>
      </c>
      <c r="W89" s="659"/>
      <c r="X89" s="660">
        <f t="shared" si="5"/>
        <v>8.8429998476571843</v>
      </c>
      <c r="Y89" s="661" t="str">
        <f t="shared" si="3"/>
        <v/>
      </c>
      <c r="Z89" s="661" t="str">
        <f t="shared" si="4"/>
        <v/>
      </c>
    </row>
    <row r="90" spans="1:26" s="128" customFormat="1" hidden="1">
      <c r="A90" s="655">
        <v>1516</v>
      </c>
      <c r="B90" s="656" t="s">
        <v>33</v>
      </c>
      <c r="C90" s="655" t="s">
        <v>2793</v>
      </c>
      <c r="D90" s="656" t="s">
        <v>595</v>
      </c>
      <c r="E90" s="656" t="s">
        <v>1042</v>
      </c>
      <c r="F90" s="655">
        <v>14597</v>
      </c>
      <c r="G90" s="656" t="s">
        <v>90</v>
      </c>
      <c r="H90" s="656" t="s">
        <v>1183</v>
      </c>
      <c r="I90" s="656" t="s">
        <v>58</v>
      </c>
      <c r="J90" s="655">
        <v>22</v>
      </c>
      <c r="K90" s="655">
        <v>2</v>
      </c>
      <c r="L90" s="656" t="s">
        <v>52</v>
      </c>
      <c r="M90" s="656" t="s">
        <v>35</v>
      </c>
      <c r="N90" s="656" t="s">
        <v>36</v>
      </c>
      <c r="O90" s="656" t="s">
        <v>37</v>
      </c>
      <c r="P90" s="656" t="s">
        <v>1176</v>
      </c>
      <c r="Q90" s="657">
        <v>0</v>
      </c>
      <c r="R90" s="657">
        <v>0</v>
      </c>
      <c r="S90" s="657">
        <v>7359</v>
      </c>
      <c r="T90" s="657">
        <v>7359</v>
      </c>
      <c r="U90" s="657">
        <v>832</v>
      </c>
      <c r="V90" s="655">
        <v>2021</v>
      </c>
      <c r="W90" s="659"/>
      <c r="X90" s="660">
        <f t="shared" si="5"/>
        <v>8.8449519230769234</v>
      </c>
      <c r="Y90" s="661" t="str">
        <f t="shared" si="3"/>
        <v/>
      </c>
      <c r="Z90" s="661" t="str">
        <f t="shared" si="4"/>
        <v/>
      </c>
    </row>
    <row r="91" spans="1:26" s="128" customFormat="1">
      <c r="A91" s="655">
        <v>1586</v>
      </c>
      <c r="B91" s="656" t="s">
        <v>33</v>
      </c>
      <c r="C91" s="655" t="s">
        <v>2793</v>
      </c>
      <c r="D91" s="656" t="s">
        <v>596</v>
      </c>
      <c r="E91" s="656" t="s">
        <v>597</v>
      </c>
      <c r="F91" s="655">
        <v>6035</v>
      </c>
      <c r="G91" s="656" t="s">
        <v>81</v>
      </c>
      <c r="H91" s="656" t="s">
        <v>1183</v>
      </c>
      <c r="I91" s="656" t="s">
        <v>58</v>
      </c>
      <c r="J91" s="655">
        <v>22</v>
      </c>
      <c r="K91" s="655">
        <v>2</v>
      </c>
      <c r="L91" s="656" t="s">
        <v>52</v>
      </c>
      <c r="M91" s="656" t="s">
        <v>50</v>
      </c>
      <c r="N91" s="656" t="s">
        <v>46</v>
      </c>
      <c r="O91" s="656" t="s">
        <v>46</v>
      </c>
      <c r="P91" s="656" t="s">
        <v>47</v>
      </c>
      <c r="Q91" s="657">
        <v>2012</v>
      </c>
      <c r="R91" s="657">
        <v>2012</v>
      </c>
      <c r="S91" s="657">
        <v>11729</v>
      </c>
      <c r="T91" s="657">
        <v>11729</v>
      </c>
      <c r="U91" s="657">
        <v>599</v>
      </c>
      <c r="V91" s="655">
        <v>2021</v>
      </c>
      <c r="W91" s="659"/>
      <c r="X91" s="660">
        <f t="shared" si="5"/>
        <v>19.580968280467445</v>
      </c>
      <c r="Y91" s="661" t="str">
        <f t="shared" si="3"/>
        <v/>
      </c>
      <c r="Z91" s="661" t="str">
        <f t="shared" si="4"/>
        <v/>
      </c>
    </row>
    <row r="92" spans="1:26" s="128" customFormat="1" ht="25">
      <c r="A92" s="655">
        <v>1588</v>
      </c>
      <c r="B92" s="656" t="s">
        <v>33</v>
      </c>
      <c r="C92" s="655" t="s">
        <v>2793</v>
      </c>
      <c r="D92" s="656" t="s">
        <v>7</v>
      </c>
      <c r="E92" s="656" t="s">
        <v>1100</v>
      </c>
      <c r="F92" s="655">
        <v>49965</v>
      </c>
      <c r="G92" s="656" t="s">
        <v>81</v>
      </c>
      <c r="H92" s="656" t="s">
        <v>1183</v>
      </c>
      <c r="I92" s="656" t="s">
        <v>58</v>
      </c>
      <c r="J92" s="655">
        <v>22</v>
      </c>
      <c r="K92" s="655">
        <v>2</v>
      </c>
      <c r="L92" s="656" t="s">
        <v>52</v>
      </c>
      <c r="M92" s="656" t="s">
        <v>38</v>
      </c>
      <c r="N92" s="656" t="s">
        <v>39</v>
      </c>
      <c r="O92" s="656" t="s">
        <v>39</v>
      </c>
      <c r="P92" s="656" t="s">
        <v>1037</v>
      </c>
      <c r="Q92" s="657">
        <v>1052573</v>
      </c>
      <c r="R92" s="657">
        <v>1052573</v>
      </c>
      <c r="S92" s="657">
        <v>1085232</v>
      </c>
      <c r="T92" s="657">
        <v>1085232</v>
      </c>
      <c r="U92" s="657">
        <v>383314</v>
      </c>
      <c r="V92" s="655">
        <v>2021</v>
      </c>
      <c r="W92" s="659" t="s">
        <v>3675</v>
      </c>
      <c r="X92" s="660">
        <f t="shared" si="5"/>
        <v>2.8311827900885436</v>
      </c>
      <c r="Y92" s="661" t="str">
        <f t="shared" si="3"/>
        <v/>
      </c>
      <c r="Z92" s="661" t="str">
        <f t="shared" si="4"/>
        <v/>
      </c>
    </row>
    <row r="93" spans="1:26" s="128" customFormat="1" ht="25">
      <c r="A93" s="655">
        <v>1588</v>
      </c>
      <c r="B93" s="656" t="s">
        <v>33</v>
      </c>
      <c r="C93" s="655" t="s">
        <v>2793</v>
      </c>
      <c r="D93" s="656" t="s">
        <v>7</v>
      </c>
      <c r="E93" s="656" t="s">
        <v>1100</v>
      </c>
      <c r="F93" s="655">
        <v>49965</v>
      </c>
      <c r="G93" s="656" t="s">
        <v>81</v>
      </c>
      <c r="H93" s="656" t="s">
        <v>1183</v>
      </c>
      <c r="I93" s="656" t="s">
        <v>58</v>
      </c>
      <c r="J93" s="655">
        <v>22</v>
      </c>
      <c r="K93" s="655">
        <v>2</v>
      </c>
      <c r="L93" s="656" t="s">
        <v>52</v>
      </c>
      <c r="M93" s="656" t="s">
        <v>41</v>
      </c>
      <c r="N93" s="656" t="s">
        <v>39</v>
      </c>
      <c r="O93" s="656" t="s">
        <v>39</v>
      </c>
      <c r="P93" s="656" t="s">
        <v>1037</v>
      </c>
      <c r="Q93" s="657">
        <v>7753264</v>
      </c>
      <c r="R93" s="657">
        <v>7753264</v>
      </c>
      <c r="S93" s="657">
        <v>7995971</v>
      </c>
      <c r="T93" s="657">
        <v>7995971</v>
      </c>
      <c r="U93" s="657">
        <v>791211</v>
      </c>
      <c r="V93" s="655">
        <v>2021</v>
      </c>
      <c r="W93" s="659" t="s">
        <v>3675</v>
      </c>
      <c r="X93" s="660">
        <f t="shared" si="5"/>
        <v>10.105990690220434</v>
      </c>
      <c r="Y93" s="661" t="str">
        <f t="shared" si="3"/>
        <v/>
      </c>
      <c r="Z93" s="661" t="str">
        <f t="shared" si="4"/>
        <v/>
      </c>
    </row>
    <row r="94" spans="1:26" s="128" customFormat="1" ht="25">
      <c r="A94" s="655">
        <v>1588</v>
      </c>
      <c r="B94" s="656" t="s">
        <v>33</v>
      </c>
      <c r="C94" s="655" t="s">
        <v>2793</v>
      </c>
      <c r="D94" s="656" t="s">
        <v>7</v>
      </c>
      <c r="E94" s="656" t="s">
        <v>1100</v>
      </c>
      <c r="F94" s="655">
        <v>49965</v>
      </c>
      <c r="G94" s="656" t="s">
        <v>81</v>
      </c>
      <c r="H94" s="656" t="s">
        <v>1183</v>
      </c>
      <c r="I94" s="656" t="s">
        <v>58</v>
      </c>
      <c r="J94" s="655">
        <v>22</v>
      </c>
      <c r="K94" s="655">
        <v>2</v>
      </c>
      <c r="L94" s="656" t="s">
        <v>52</v>
      </c>
      <c r="M94" s="656" t="s">
        <v>41</v>
      </c>
      <c r="N94" s="656" t="s">
        <v>61</v>
      </c>
      <c r="O94" s="656" t="s">
        <v>61</v>
      </c>
      <c r="P94" s="656" t="s">
        <v>47</v>
      </c>
      <c r="Q94" s="657">
        <v>0</v>
      </c>
      <c r="R94" s="657">
        <v>0</v>
      </c>
      <c r="S94" s="657">
        <v>0</v>
      </c>
      <c r="T94" s="657">
        <v>0</v>
      </c>
      <c r="U94" s="657">
        <v>0</v>
      </c>
      <c r="V94" s="655">
        <v>2021</v>
      </c>
      <c r="W94" s="659" t="s">
        <v>3675</v>
      </c>
      <c r="X94" s="660" t="str">
        <f t="shared" si="5"/>
        <v/>
      </c>
      <c r="Y94" s="661" t="str">
        <f t="shared" si="3"/>
        <v/>
      </c>
      <c r="Z94" s="661" t="str">
        <f t="shared" si="4"/>
        <v/>
      </c>
    </row>
    <row r="95" spans="1:26" s="128" customFormat="1" ht="25">
      <c r="A95" s="655">
        <v>1588</v>
      </c>
      <c r="B95" s="656" t="s">
        <v>33</v>
      </c>
      <c r="C95" s="655" t="s">
        <v>2793</v>
      </c>
      <c r="D95" s="656" t="s">
        <v>7</v>
      </c>
      <c r="E95" s="656" t="s">
        <v>1100</v>
      </c>
      <c r="F95" s="655">
        <v>49965</v>
      </c>
      <c r="G95" s="656" t="s">
        <v>81</v>
      </c>
      <c r="H95" s="656" t="s">
        <v>1183</v>
      </c>
      <c r="I95" s="656" t="s">
        <v>58</v>
      </c>
      <c r="J95" s="655">
        <v>22</v>
      </c>
      <c r="K95" s="655">
        <v>2</v>
      </c>
      <c r="L95" s="656" t="s">
        <v>52</v>
      </c>
      <c r="M95" s="656" t="s">
        <v>50</v>
      </c>
      <c r="N95" s="656" t="s">
        <v>46</v>
      </c>
      <c r="O95" s="656" t="s">
        <v>46</v>
      </c>
      <c r="P95" s="656" t="s">
        <v>47</v>
      </c>
      <c r="Q95" s="657">
        <v>34</v>
      </c>
      <c r="R95" s="657">
        <v>34</v>
      </c>
      <c r="S95" s="657">
        <v>198</v>
      </c>
      <c r="T95" s="657">
        <v>198</v>
      </c>
      <c r="U95" s="657">
        <v>10</v>
      </c>
      <c r="V95" s="655">
        <v>2021</v>
      </c>
      <c r="W95" s="659"/>
      <c r="X95" s="660">
        <f t="shared" si="5"/>
        <v>19.8</v>
      </c>
      <c r="Y95" s="661" t="str">
        <f t="shared" si="3"/>
        <v/>
      </c>
      <c r="Z95" s="661" t="str">
        <f t="shared" si="4"/>
        <v/>
      </c>
    </row>
    <row r="96" spans="1:26" s="128" customFormat="1" ht="25">
      <c r="A96" s="655">
        <v>1588</v>
      </c>
      <c r="B96" s="656" t="s">
        <v>33</v>
      </c>
      <c r="C96" s="655" t="s">
        <v>2793</v>
      </c>
      <c r="D96" s="656" t="s">
        <v>7</v>
      </c>
      <c r="E96" s="656" t="s">
        <v>1100</v>
      </c>
      <c r="F96" s="655">
        <v>49965</v>
      </c>
      <c r="G96" s="656" t="s">
        <v>81</v>
      </c>
      <c r="H96" s="656" t="s">
        <v>1183</v>
      </c>
      <c r="I96" s="656" t="s">
        <v>58</v>
      </c>
      <c r="J96" s="655">
        <v>22</v>
      </c>
      <c r="K96" s="655">
        <v>2</v>
      </c>
      <c r="L96" s="656" t="s">
        <v>52</v>
      </c>
      <c r="M96" s="656" t="s">
        <v>42</v>
      </c>
      <c r="N96" s="656" t="s">
        <v>39</v>
      </c>
      <c r="O96" s="656" t="s">
        <v>39</v>
      </c>
      <c r="P96" s="656" t="s">
        <v>1037</v>
      </c>
      <c r="Q96" s="657">
        <v>4837</v>
      </c>
      <c r="R96" s="657">
        <v>4837</v>
      </c>
      <c r="S96" s="657">
        <v>4987</v>
      </c>
      <c r="T96" s="657">
        <v>4987</v>
      </c>
      <c r="U96" s="657">
        <v>398.24299999999999</v>
      </c>
      <c r="V96" s="655">
        <v>2021</v>
      </c>
      <c r="W96" s="659" t="s">
        <v>3675</v>
      </c>
      <c r="X96" s="660">
        <f t="shared" si="5"/>
        <v>12.522505103667861</v>
      </c>
      <c r="Y96" s="661" t="str">
        <f t="shared" si="3"/>
        <v/>
      </c>
      <c r="Z96" s="661" t="str">
        <f t="shared" si="4"/>
        <v/>
      </c>
    </row>
    <row r="97" spans="1:26" s="128" customFormat="1" ht="25">
      <c r="A97" s="655">
        <v>1588</v>
      </c>
      <c r="B97" s="656" t="s">
        <v>33</v>
      </c>
      <c r="C97" s="655" t="s">
        <v>2793</v>
      </c>
      <c r="D97" s="656" t="s">
        <v>7</v>
      </c>
      <c r="E97" s="656" t="s">
        <v>1100</v>
      </c>
      <c r="F97" s="655">
        <v>49965</v>
      </c>
      <c r="G97" s="656" t="s">
        <v>81</v>
      </c>
      <c r="H97" s="656" t="s">
        <v>1183</v>
      </c>
      <c r="I97" s="656" t="s">
        <v>58</v>
      </c>
      <c r="J97" s="655">
        <v>22</v>
      </c>
      <c r="K97" s="655">
        <v>2</v>
      </c>
      <c r="L97" s="656" t="s">
        <v>52</v>
      </c>
      <c r="M97" s="656" t="s">
        <v>42</v>
      </c>
      <c r="N97" s="656" t="s">
        <v>61</v>
      </c>
      <c r="O97" s="656" t="s">
        <v>61</v>
      </c>
      <c r="P97" s="656" t="s">
        <v>47</v>
      </c>
      <c r="Q97" s="657">
        <v>19604</v>
      </c>
      <c r="R97" s="657">
        <v>19604</v>
      </c>
      <c r="S97" s="657">
        <v>123505</v>
      </c>
      <c r="T97" s="657">
        <v>123505</v>
      </c>
      <c r="U97" s="657">
        <v>9862.7569999999996</v>
      </c>
      <c r="V97" s="655">
        <v>2021</v>
      </c>
      <c r="W97" s="659" t="s">
        <v>3675</v>
      </c>
      <c r="X97" s="660">
        <f t="shared" si="5"/>
        <v>12.522360634049891</v>
      </c>
      <c r="Y97" s="661" t="str">
        <f t="shared" si="3"/>
        <v/>
      </c>
      <c r="Z97" s="661" t="str">
        <f t="shared" si="4"/>
        <v/>
      </c>
    </row>
    <row r="98" spans="1:26" s="128" customFormat="1">
      <c r="A98" s="655">
        <v>1592</v>
      </c>
      <c r="B98" s="656" t="s">
        <v>33</v>
      </c>
      <c r="C98" s="655" t="s">
        <v>2793</v>
      </c>
      <c r="D98" s="656" t="s">
        <v>598</v>
      </c>
      <c r="E98" s="656" t="s">
        <v>597</v>
      </c>
      <c r="F98" s="655">
        <v>6035</v>
      </c>
      <c r="G98" s="656" t="s">
        <v>81</v>
      </c>
      <c r="H98" s="656" t="s">
        <v>1183</v>
      </c>
      <c r="I98" s="656" t="s">
        <v>58</v>
      </c>
      <c r="J98" s="655">
        <v>22</v>
      </c>
      <c r="K98" s="655">
        <v>2</v>
      </c>
      <c r="L98" s="656" t="s">
        <v>52</v>
      </c>
      <c r="M98" s="656" t="s">
        <v>50</v>
      </c>
      <c r="N98" s="656" t="s">
        <v>46</v>
      </c>
      <c r="O98" s="656" t="s">
        <v>46</v>
      </c>
      <c r="P98" s="656" t="s">
        <v>47</v>
      </c>
      <c r="Q98" s="657">
        <v>5334</v>
      </c>
      <c r="R98" s="657">
        <v>5334</v>
      </c>
      <c r="S98" s="657">
        <v>30990</v>
      </c>
      <c r="T98" s="657">
        <v>30990</v>
      </c>
      <c r="U98" s="657">
        <v>1452</v>
      </c>
      <c r="V98" s="655">
        <v>2021</v>
      </c>
      <c r="W98" s="659" t="s">
        <v>3675</v>
      </c>
      <c r="X98" s="660">
        <f t="shared" si="5"/>
        <v>21.34297520661157</v>
      </c>
      <c r="Y98" s="661" t="str">
        <f t="shared" si="3"/>
        <v/>
      </c>
      <c r="Z98" s="661" t="str">
        <f t="shared" si="4"/>
        <v/>
      </c>
    </row>
    <row r="99" spans="1:26" s="128" customFormat="1">
      <c r="A99" s="655">
        <v>1595</v>
      </c>
      <c r="B99" s="656" t="s">
        <v>54</v>
      </c>
      <c r="C99" s="655" t="s">
        <v>2793</v>
      </c>
      <c r="D99" s="656" t="s">
        <v>8</v>
      </c>
      <c r="E99" s="656" t="s">
        <v>2796</v>
      </c>
      <c r="F99" s="655">
        <v>59528</v>
      </c>
      <c r="G99" s="656" t="s">
        <v>81</v>
      </c>
      <c r="H99" s="656" t="s">
        <v>1183</v>
      </c>
      <c r="I99" s="656" t="s">
        <v>58</v>
      </c>
      <c r="J99" s="655">
        <v>22</v>
      </c>
      <c r="K99" s="655">
        <v>3</v>
      </c>
      <c r="L99" s="656" t="s">
        <v>55</v>
      </c>
      <c r="M99" s="656" t="s">
        <v>38</v>
      </c>
      <c r="N99" s="656" t="s">
        <v>46</v>
      </c>
      <c r="O99" s="656" t="s">
        <v>46</v>
      </c>
      <c r="P99" s="656" t="s">
        <v>47</v>
      </c>
      <c r="Q99" s="657">
        <v>0</v>
      </c>
      <c r="R99" s="657">
        <v>0</v>
      </c>
      <c r="S99" s="657">
        <v>0</v>
      </c>
      <c r="T99" s="657">
        <v>0</v>
      </c>
      <c r="U99" s="657">
        <v>433.02199999999999</v>
      </c>
      <c r="V99" s="655">
        <v>2021</v>
      </c>
      <c r="W99" s="659"/>
      <c r="X99" s="660" t="str">
        <f t="shared" si="5"/>
        <v/>
      </c>
      <c r="Y99" s="661" t="str">
        <f t="shared" si="3"/>
        <v/>
      </c>
      <c r="Z99" s="661" t="str">
        <f t="shared" si="4"/>
        <v/>
      </c>
    </row>
    <row r="100" spans="1:26" s="128" customFormat="1">
      <c r="A100" s="655">
        <v>1595</v>
      </c>
      <c r="B100" s="656" t="s">
        <v>54</v>
      </c>
      <c r="C100" s="655" t="s">
        <v>2793</v>
      </c>
      <c r="D100" s="656" t="s">
        <v>8</v>
      </c>
      <c r="E100" s="656" t="s">
        <v>2796</v>
      </c>
      <c r="F100" s="655">
        <v>59528</v>
      </c>
      <c r="G100" s="656" t="s">
        <v>81</v>
      </c>
      <c r="H100" s="656" t="s">
        <v>1183</v>
      </c>
      <c r="I100" s="656" t="s">
        <v>58</v>
      </c>
      <c r="J100" s="655">
        <v>22</v>
      </c>
      <c r="K100" s="655">
        <v>3</v>
      </c>
      <c r="L100" s="656" t="s">
        <v>55</v>
      </c>
      <c r="M100" s="656" t="s">
        <v>38</v>
      </c>
      <c r="N100" s="656" t="s">
        <v>39</v>
      </c>
      <c r="O100" s="656" t="s">
        <v>39</v>
      </c>
      <c r="P100" s="656" t="s">
        <v>1037</v>
      </c>
      <c r="Q100" s="657">
        <v>392789</v>
      </c>
      <c r="R100" s="657">
        <v>302046</v>
      </c>
      <c r="S100" s="657">
        <v>403751</v>
      </c>
      <c r="T100" s="657">
        <v>310467</v>
      </c>
      <c r="U100" s="657">
        <v>139446.98000000001</v>
      </c>
      <c r="V100" s="655">
        <v>2021</v>
      </c>
      <c r="W100" s="659"/>
      <c r="X100" s="660">
        <f t="shared" si="5"/>
        <v>2.2264160901871088</v>
      </c>
      <c r="Y100" s="661" t="str">
        <f t="shared" si="3"/>
        <v/>
      </c>
      <c r="Z100" s="661" t="str">
        <f t="shared" si="4"/>
        <v/>
      </c>
    </row>
    <row r="101" spans="1:26" s="128" customFormat="1">
      <c r="A101" s="655">
        <v>1595</v>
      </c>
      <c r="B101" s="656" t="s">
        <v>54</v>
      </c>
      <c r="C101" s="655" t="s">
        <v>2793</v>
      </c>
      <c r="D101" s="656" t="s">
        <v>8</v>
      </c>
      <c r="E101" s="656" t="s">
        <v>2796</v>
      </c>
      <c r="F101" s="655">
        <v>59528</v>
      </c>
      <c r="G101" s="656" t="s">
        <v>81</v>
      </c>
      <c r="H101" s="656" t="s">
        <v>1183</v>
      </c>
      <c r="I101" s="656" t="s">
        <v>58</v>
      </c>
      <c r="J101" s="655">
        <v>22</v>
      </c>
      <c r="K101" s="655">
        <v>3</v>
      </c>
      <c r="L101" s="656" t="s">
        <v>55</v>
      </c>
      <c r="M101" s="656" t="s">
        <v>41</v>
      </c>
      <c r="N101" s="656" t="s">
        <v>46</v>
      </c>
      <c r="O101" s="656" t="s">
        <v>46</v>
      </c>
      <c r="P101" s="656" t="s">
        <v>47</v>
      </c>
      <c r="Q101" s="657">
        <v>6481</v>
      </c>
      <c r="R101" s="657">
        <v>3859</v>
      </c>
      <c r="S101" s="657">
        <v>37589</v>
      </c>
      <c r="T101" s="657">
        <v>22382</v>
      </c>
      <c r="U101" s="657">
        <v>3372.0590000000002</v>
      </c>
      <c r="V101" s="655">
        <v>2021</v>
      </c>
      <c r="W101" s="659"/>
      <c r="X101" s="660">
        <f t="shared" si="5"/>
        <v>6.6374876596168688</v>
      </c>
      <c r="Y101" s="661" t="str">
        <f t="shared" si="3"/>
        <v/>
      </c>
      <c r="Z101" s="661" t="str">
        <f t="shared" si="4"/>
        <v/>
      </c>
    </row>
    <row r="102" spans="1:26" s="128" customFormat="1">
      <c r="A102" s="655">
        <v>1595</v>
      </c>
      <c r="B102" s="656" t="s">
        <v>54</v>
      </c>
      <c r="C102" s="655" t="s">
        <v>2793</v>
      </c>
      <c r="D102" s="656" t="s">
        <v>8</v>
      </c>
      <c r="E102" s="656" t="s">
        <v>2796</v>
      </c>
      <c r="F102" s="655">
        <v>59528</v>
      </c>
      <c r="G102" s="656" t="s">
        <v>81</v>
      </c>
      <c r="H102" s="656" t="s">
        <v>1183</v>
      </c>
      <c r="I102" s="656" t="s">
        <v>58</v>
      </c>
      <c r="J102" s="655">
        <v>22</v>
      </c>
      <c r="K102" s="655">
        <v>3</v>
      </c>
      <c r="L102" s="656" t="s">
        <v>55</v>
      </c>
      <c r="M102" s="656" t="s">
        <v>41</v>
      </c>
      <c r="N102" s="656" t="s">
        <v>39</v>
      </c>
      <c r="O102" s="656" t="s">
        <v>39</v>
      </c>
      <c r="P102" s="656" t="s">
        <v>1037</v>
      </c>
      <c r="Q102" s="657">
        <v>11554005</v>
      </c>
      <c r="R102" s="657">
        <v>6423507</v>
      </c>
      <c r="S102" s="657">
        <v>11874448</v>
      </c>
      <c r="T102" s="657">
        <v>6601700</v>
      </c>
      <c r="U102" s="657">
        <v>1031293.9</v>
      </c>
      <c r="V102" s="655">
        <v>2021</v>
      </c>
      <c r="W102" s="659"/>
      <c r="X102" s="660">
        <f t="shared" si="5"/>
        <v>6.4013759802128183</v>
      </c>
      <c r="Y102" s="661" t="str">
        <f t="shared" si="3"/>
        <v/>
      </c>
      <c r="Z102" s="661" t="str">
        <f t="shared" si="4"/>
        <v/>
      </c>
    </row>
    <row r="103" spans="1:26" s="128" customFormat="1">
      <c r="A103" s="655">
        <v>1595</v>
      </c>
      <c r="B103" s="656" t="s">
        <v>54</v>
      </c>
      <c r="C103" s="655" t="s">
        <v>2793</v>
      </c>
      <c r="D103" s="656" t="s">
        <v>8</v>
      </c>
      <c r="E103" s="656" t="s">
        <v>2796</v>
      </c>
      <c r="F103" s="655">
        <v>59528</v>
      </c>
      <c r="G103" s="656" t="s">
        <v>81</v>
      </c>
      <c r="H103" s="656" t="s">
        <v>1183</v>
      </c>
      <c r="I103" s="656" t="s">
        <v>58</v>
      </c>
      <c r="J103" s="655">
        <v>22</v>
      </c>
      <c r="K103" s="655">
        <v>3</v>
      </c>
      <c r="L103" s="656" t="s">
        <v>55</v>
      </c>
      <c r="M103" s="656" t="s">
        <v>41</v>
      </c>
      <c r="N103" s="656" t="s">
        <v>61</v>
      </c>
      <c r="O103" s="656" t="s">
        <v>61</v>
      </c>
      <c r="P103" s="656" t="s">
        <v>47</v>
      </c>
      <c r="Q103" s="657">
        <v>0</v>
      </c>
      <c r="R103" s="657">
        <v>0</v>
      </c>
      <c r="S103" s="657">
        <v>0</v>
      </c>
      <c r="T103" s="657">
        <v>0</v>
      </c>
      <c r="U103" s="657">
        <v>0</v>
      </c>
      <c r="V103" s="655">
        <v>2021</v>
      </c>
      <c r="W103" s="659"/>
      <c r="X103" s="660" t="str">
        <f t="shared" si="5"/>
        <v/>
      </c>
      <c r="Y103" s="661" t="str">
        <f t="shared" si="3"/>
        <v/>
      </c>
      <c r="Z103" s="661" t="str">
        <f t="shared" si="4"/>
        <v/>
      </c>
    </row>
    <row r="104" spans="1:26" s="128" customFormat="1">
      <c r="A104" s="655">
        <v>1595</v>
      </c>
      <c r="B104" s="656" t="s">
        <v>54</v>
      </c>
      <c r="C104" s="655" t="s">
        <v>2793</v>
      </c>
      <c r="D104" s="656" t="s">
        <v>8</v>
      </c>
      <c r="E104" s="656" t="s">
        <v>2796</v>
      </c>
      <c r="F104" s="655">
        <v>59528</v>
      </c>
      <c r="G104" s="656" t="s">
        <v>81</v>
      </c>
      <c r="H104" s="656" t="s">
        <v>1183</v>
      </c>
      <c r="I104" s="656" t="s">
        <v>58</v>
      </c>
      <c r="J104" s="655">
        <v>22</v>
      </c>
      <c r="K104" s="655">
        <v>3</v>
      </c>
      <c r="L104" s="656" t="s">
        <v>55</v>
      </c>
      <c r="M104" s="656" t="s">
        <v>50</v>
      </c>
      <c r="N104" s="656" t="s">
        <v>46</v>
      </c>
      <c r="O104" s="656" t="s">
        <v>46</v>
      </c>
      <c r="P104" s="656" t="s">
        <v>47</v>
      </c>
      <c r="Q104" s="657">
        <v>1270</v>
      </c>
      <c r="R104" s="657">
        <v>354</v>
      </c>
      <c r="S104" s="657">
        <v>7366</v>
      </c>
      <c r="T104" s="657">
        <v>2047</v>
      </c>
      <c r="U104" s="657">
        <v>360</v>
      </c>
      <c r="V104" s="655">
        <v>2021</v>
      </c>
      <c r="W104" s="659"/>
      <c r="X104" s="660">
        <f t="shared" si="5"/>
        <v>5.6861111111111109</v>
      </c>
      <c r="Y104" s="661" t="str">
        <f t="shared" si="3"/>
        <v/>
      </c>
      <c r="Z104" s="661" t="str">
        <f t="shared" si="4"/>
        <v/>
      </c>
    </row>
    <row r="105" spans="1:26" s="128" customFormat="1" ht="25">
      <c r="A105" s="655">
        <v>1597</v>
      </c>
      <c r="B105" s="656" t="s">
        <v>33</v>
      </c>
      <c r="C105" s="655" t="s">
        <v>2793</v>
      </c>
      <c r="D105" s="656" t="s">
        <v>599</v>
      </c>
      <c r="E105" s="656" t="s">
        <v>3363</v>
      </c>
      <c r="F105" s="655">
        <v>64488</v>
      </c>
      <c r="G105" s="656" t="s">
        <v>81</v>
      </c>
      <c r="H105" s="656" t="s">
        <v>1183</v>
      </c>
      <c r="I105" s="656" t="s">
        <v>58</v>
      </c>
      <c r="J105" s="655">
        <v>22</v>
      </c>
      <c r="K105" s="655">
        <v>2</v>
      </c>
      <c r="L105" s="656" t="s">
        <v>52</v>
      </c>
      <c r="M105" s="656" t="s">
        <v>51</v>
      </c>
      <c r="N105" s="656" t="s">
        <v>46</v>
      </c>
      <c r="O105" s="656" t="s">
        <v>46</v>
      </c>
      <c r="P105" s="656" t="s">
        <v>47</v>
      </c>
      <c r="Q105" s="657">
        <v>3506</v>
      </c>
      <c r="R105" s="657">
        <v>3506</v>
      </c>
      <c r="S105" s="657">
        <v>20247</v>
      </c>
      <c r="T105" s="657">
        <v>20247</v>
      </c>
      <c r="U105" s="657">
        <v>1997</v>
      </c>
      <c r="V105" s="655">
        <v>2021</v>
      </c>
      <c r="W105" s="659"/>
      <c r="X105" s="660">
        <f t="shared" si="5"/>
        <v>10.138708062093139</v>
      </c>
      <c r="Y105" s="661" t="str">
        <f t="shared" si="3"/>
        <v/>
      </c>
      <c r="Z105" s="661" t="str">
        <f t="shared" si="4"/>
        <v/>
      </c>
    </row>
    <row r="106" spans="1:26" s="128" customFormat="1" ht="25">
      <c r="A106" s="655">
        <v>1599</v>
      </c>
      <c r="B106" s="656" t="s">
        <v>33</v>
      </c>
      <c r="C106" s="655" t="s">
        <v>2793</v>
      </c>
      <c r="D106" s="656" t="s">
        <v>9</v>
      </c>
      <c r="E106" s="656" t="s">
        <v>2311</v>
      </c>
      <c r="F106" s="655">
        <v>61708</v>
      </c>
      <c r="G106" s="656" t="s">
        <v>81</v>
      </c>
      <c r="H106" s="656" t="s">
        <v>1183</v>
      </c>
      <c r="I106" s="656" t="s">
        <v>58</v>
      </c>
      <c r="J106" s="655">
        <v>22</v>
      </c>
      <c r="K106" s="655">
        <v>2</v>
      </c>
      <c r="L106" s="656" t="s">
        <v>52</v>
      </c>
      <c r="M106" s="656" t="s">
        <v>50</v>
      </c>
      <c r="N106" s="656" t="s">
        <v>46</v>
      </c>
      <c r="O106" s="656" t="s">
        <v>46</v>
      </c>
      <c r="P106" s="656" t="s">
        <v>47</v>
      </c>
      <c r="Q106" s="657">
        <v>0</v>
      </c>
      <c r="R106" s="657">
        <v>0</v>
      </c>
      <c r="S106" s="657">
        <v>0</v>
      </c>
      <c r="T106" s="657">
        <v>0</v>
      </c>
      <c r="U106" s="657">
        <v>-95.655000000000001</v>
      </c>
      <c r="V106" s="655">
        <v>2021</v>
      </c>
      <c r="W106" s="659" t="s">
        <v>3675</v>
      </c>
      <c r="X106" s="660" t="str">
        <f t="shared" si="5"/>
        <v/>
      </c>
      <c r="Y106" s="661" t="str">
        <f t="shared" si="3"/>
        <v/>
      </c>
      <c r="Z106" s="661" t="str">
        <f t="shared" si="4"/>
        <v/>
      </c>
    </row>
    <row r="107" spans="1:26" s="128" customFormat="1" ht="25">
      <c r="A107" s="655">
        <v>1599</v>
      </c>
      <c r="B107" s="656" t="s">
        <v>33</v>
      </c>
      <c r="C107" s="655" t="s">
        <v>2793</v>
      </c>
      <c r="D107" s="656" t="s">
        <v>9</v>
      </c>
      <c r="E107" s="656" t="s">
        <v>2311</v>
      </c>
      <c r="F107" s="655">
        <v>61708</v>
      </c>
      <c r="G107" s="656" t="s">
        <v>81</v>
      </c>
      <c r="H107" s="656" t="s">
        <v>1183</v>
      </c>
      <c r="I107" s="656" t="s">
        <v>58</v>
      </c>
      <c r="J107" s="655">
        <v>22</v>
      </c>
      <c r="K107" s="655">
        <v>2</v>
      </c>
      <c r="L107" s="656" t="s">
        <v>52</v>
      </c>
      <c r="M107" s="656" t="s">
        <v>50</v>
      </c>
      <c r="N107" s="656" t="s">
        <v>39</v>
      </c>
      <c r="O107" s="656" t="s">
        <v>39</v>
      </c>
      <c r="P107" s="656" t="s">
        <v>1037</v>
      </c>
      <c r="Q107" s="657">
        <v>1382175</v>
      </c>
      <c r="R107" s="657">
        <v>1382175</v>
      </c>
      <c r="S107" s="657">
        <v>1419962</v>
      </c>
      <c r="T107" s="657">
        <v>1419962</v>
      </c>
      <c r="U107" s="657">
        <v>145478.66</v>
      </c>
      <c r="V107" s="655">
        <v>2021</v>
      </c>
      <c r="W107" s="659" t="s">
        <v>3675</v>
      </c>
      <c r="X107" s="660">
        <f t="shared" si="5"/>
        <v>9.7606205611187224</v>
      </c>
      <c r="Y107" s="661" t="str">
        <f t="shared" si="3"/>
        <v/>
      </c>
      <c r="Z107" s="661" t="str">
        <f t="shared" si="4"/>
        <v/>
      </c>
    </row>
    <row r="108" spans="1:26" s="128" customFormat="1" ht="25">
      <c r="A108" s="655">
        <v>1599</v>
      </c>
      <c r="B108" s="656" t="s">
        <v>33</v>
      </c>
      <c r="C108" s="655" t="s">
        <v>2793</v>
      </c>
      <c r="D108" s="656" t="s">
        <v>9</v>
      </c>
      <c r="E108" s="656" t="s">
        <v>2311</v>
      </c>
      <c r="F108" s="655">
        <v>61708</v>
      </c>
      <c r="G108" s="656" t="s">
        <v>81</v>
      </c>
      <c r="H108" s="656" t="s">
        <v>1183</v>
      </c>
      <c r="I108" s="656" t="s">
        <v>58</v>
      </c>
      <c r="J108" s="655">
        <v>22</v>
      </c>
      <c r="K108" s="655">
        <v>2</v>
      </c>
      <c r="L108" s="656" t="s">
        <v>52</v>
      </c>
      <c r="M108" s="656" t="s">
        <v>42</v>
      </c>
      <c r="N108" s="656" t="s">
        <v>46</v>
      </c>
      <c r="O108" s="656" t="s">
        <v>46</v>
      </c>
      <c r="P108" s="656" t="s">
        <v>47</v>
      </c>
      <c r="Q108" s="657">
        <v>158</v>
      </c>
      <c r="R108" s="657">
        <v>158</v>
      </c>
      <c r="S108" s="657">
        <v>916</v>
      </c>
      <c r="T108" s="657">
        <v>916</v>
      </c>
      <c r="U108" s="657">
        <v>80.284000000000006</v>
      </c>
      <c r="V108" s="655">
        <v>2021</v>
      </c>
      <c r="W108" s="659" t="s">
        <v>3675</v>
      </c>
      <c r="X108" s="660">
        <f t="shared" si="5"/>
        <v>11.409496288176971</v>
      </c>
      <c r="Y108" s="661" t="str">
        <f t="shared" si="3"/>
        <v/>
      </c>
      <c r="Z108" s="661" t="str">
        <f t="shared" si="4"/>
        <v/>
      </c>
    </row>
    <row r="109" spans="1:26" s="128" customFormat="1" ht="25">
      <c r="A109" s="655">
        <v>1599</v>
      </c>
      <c r="B109" s="656" t="s">
        <v>33</v>
      </c>
      <c r="C109" s="655" t="s">
        <v>2793</v>
      </c>
      <c r="D109" s="656" t="s">
        <v>9</v>
      </c>
      <c r="E109" s="656" t="s">
        <v>2311</v>
      </c>
      <c r="F109" s="655">
        <v>61708</v>
      </c>
      <c r="G109" s="656" t="s">
        <v>81</v>
      </c>
      <c r="H109" s="656" t="s">
        <v>1183</v>
      </c>
      <c r="I109" s="656" t="s">
        <v>58</v>
      </c>
      <c r="J109" s="655">
        <v>22</v>
      </c>
      <c r="K109" s="655">
        <v>2</v>
      </c>
      <c r="L109" s="656" t="s">
        <v>52</v>
      </c>
      <c r="M109" s="656" t="s">
        <v>42</v>
      </c>
      <c r="N109" s="656" t="s">
        <v>39</v>
      </c>
      <c r="O109" s="656" t="s">
        <v>39</v>
      </c>
      <c r="P109" s="656" t="s">
        <v>1037</v>
      </c>
      <c r="Q109" s="657">
        <v>226908</v>
      </c>
      <c r="R109" s="657">
        <v>226908</v>
      </c>
      <c r="S109" s="657">
        <v>233035</v>
      </c>
      <c r="T109" s="657">
        <v>233035</v>
      </c>
      <c r="U109" s="657">
        <v>14028.428</v>
      </c>
      <c r="V109" s="655">
        <v>2021</v>
      </c>
      <c r="W109" s="659" t="s">
        <v>3675</v>
      </c>
      <c r="X109" s="660">
        <f t="shared" si="5"/>
        <v>16.611626049618675</v>
      </c>
      <c r="Y109" s="661" t="str">
        <f t="shared" si="3"/>
        <v/>
      </c>
      <c r="Z109" s="661" t="str">
        <f t="shared" si="4"/>
        <v/>
      </c>
    </row>
    <row r="110" spans="1:26" s="128" customFormat="1" ht="25">
      <c r="A110" s="655">
        <v>1599</v>
      </c>
      <c r="B110" s="656" t="s">
        <v>33</v>
      </c>
      <c r="C110" s="655" t="s">
        <v>2793</v>
      </c>
      <c r="D110" s="656" t="s">
        <v>9</v>
      </c>
      <c r="E110" s="656" t="s">
        <v>2311</v>
      </c>
      <c r="F110" s="655">
        <v>61708</v>
      </c>
      <c r="G110" s="656" t="s">
        <v>81</v>
      </c>
      <c r="H110" s="656" t="s">
        <v>1183</v>
      </c>
      <c r="I110" s="656" t="s">
        <v>58</v>
      </c>
      <c r="J110" s="655">
        <v>22</v>
      </c>
      <c r="K110" s="655">
        <v>2</v>
      </c>
      <c r="L110" s="656" t="s">
        <v>52</v>
      </c>
      <c r="M110" s="656" t="s">
        <v>42</v>
      </c>
      <c r="N110" s="656" t="s">
        <v>61</v>
      </c>
      <c r="O110" s="656" t="s">
        <v>61</v>
      </c>
      <c r="P110" s="656" t="s">
        <v>47</v>
      </c>
      <c r="Q110" s="657">
        <v>53962</v>
      </c>
      <c r="R110" s="657">
        <v>53962</v>
      </c>
      <c r="S110" s="657">
        <v>339961</v>
      </c>
      <c r="T110" s="657">
        <v>339961</v>
      </c>
      <c r="U110" s="657">
        <v>24643.288</v>
      </c>
      <c r="V110" s="655">
        <v>2021</v>
      </c>
      <c r="W110" s="659" t="s">
        <v>3675</v>
      </c>
      <c r="X110" s="660">
        <f t="shared" si="5"/>
        <v>13.795277643145671</v>
      </c>
      <c r="Y110" s="661" t="str">
        <f t="shared" si="3"/>
        <v/>
      </c>
      <c r="Z110" s="661" t="str">
        <f t="shared" si="4"/>
        <v/>
      </c>
    </row>
    <row r="111" spans="1:26" s="128" customFormat="1" ht="25">
      <c r="A111" s="655">
        <v>1603</v>
      </c>
      <c r="B111" s="656" t="s">
        <v>33</v>
      </c>
      <c r="C111" s="655" t="s">
        <v>2793</v>
      </c>
      <c r="D111" s="656" t="s">
        <v>600</v>
      </c>
      <c r="E111" s="656" t="s">
        <v>601</v>
      </c>
      <c r="F111" s="655">
        <v>8776</v>
      </c>
      <c r="G111" s="656" t="s">
        <v>81</v>
      </c>
      <c r="H111" s="656" t="s">
        <v>1183</v>
      </c>
      <c r="I111" s="656" t="s">
        <v>58</v>
      </c>
      <c r="J111" s="655">
        <v>22</v>
      </c>
      <c r="K111" s="655">
        <v>1</v>
      </c>
      <c r="L111" s="656" t="s">
        <v>34</v>
      </c>
      <c r="M111" s="656" t="s">
        <v>35</v>
      </c>
      <c r="N111" s="656" t="s">
        <v>36</v>
      </c>
      <c r="O111" s="656" t="s">
        <v>37</v>
      </c>
      <c r="P111" s="656" t="s">
        <v>1176</v>
      </c>
      <c r="Q111" s="657">
        <v>0</v>
      </c>
      <c r="R111" s="657">
        <v>0</v>
      </c>
      <c r="S111" s="657">
        <v>115659</v>
      </c>
      <c r="T111" s="657">
        <v>115659</v>
      </c>
      <c r="U111" s="657">
        <v>13079</v>
      </c>
      <c r="V111" s="655">
        <v>2021</v>
      </c>
      <c r="W111" s="659"/>
      <c r="X111" s="660">
        <f t="shared" si="5"/>
        <v>8.8431072711981038</v>
      </c>
      <c r="Y111" s="661" t="str">
        <f t="shared" si="3"/>
        <v/>
      </c>
      <c r="Z111" s="661" t="str">
        <f t="shared" si="4"/>
        <v/>
      </c>
    </row>
    <row r="112" spans="1:26" s="128" customFormat="1" ht="25">
      <c r="A112" s="655">
        <v>1604</v>
      </c>
      <c r="B112" s="656" t="s">
        <v>33</v>
      </c>
      <c r="C112" s="655" t="s">
        <v>2793</v>
      </c>
      <c r="D112" s="656" t="s">
        <v>602</v>
      </c>
      <c r="E112" s="656" t="s">
        <v>601</v>
      </c>
      <c r="F112" s="655">
        <v>8776</v>
      </c>
      <c r="G112" s="656" t="s">
        <v>81</v>
      </c>
      <c r="H112" s="656" t="s">
        <v>1183</v>
      </c>
      <c r="I112" s="656" t="s">
        <v>58</v>
      </c>
      <c r="J112" s="655">
        <v>22</v>
      </c>
      <c r="K112" s="655">
        <v>1</v>
      </c>
      <c r="L112" s="656" t="s">
        <v>34</v>
      </c>
      <c r="M112" s="656" t="s">
        <v>35</v>
      </c>
      <c r="N112" s="656" t="s">
        <v>36</v>
      </c>
      <c r="O112" s="656" t="s">
        <v>37</v>
      </c>
      <c r="P112" s="656" t="s">
        <v>1176</v>
      </c>
      <c r="Q112" s="657">
        <v>0</v>
      </c>
      <c r="R112" s="657">
        <v>0</v>
      </c>
      <c r="S112" s="657">
        <v>27758</v>
      </c>
      <c r="T112" s="657">
        <v>27758</v>
      </c>
      <c r="U112" s="657">
        <v>3139</v>
      </c>
      <c r="V112" s="655">
        <v>2021</v>
      </c>
      <c r="W112" s="659"/>
      <c r="X112" s="660">
        <f t="shared" si="5"/>
        <v>8.8429436126154819</v>
      </c>
      <c r="Y112" s="661" t="str">
        <f t="shared" si="3"/>
        <v/>
      </c>
      <c r="Z112" s="661" t="str">
        <f t="shared" si="4"/>
        <v/>
      </c>
    </row>
    <row r="113" spans="1:26" s="128" customFormat="1" ht="25">
      <c r="A113" s="655">
        <v>1605</v>
      </c>
      <c r="B113" s="656" t="s">
        <v>33</v>
      </c>
      <c r="C113" s="655" t="s">
        <v>2793</v>
      </c>
      <c r="D113" s="656" t="s">
        <v>603</v>
      </c>
      <c r="E113" s="656" t="s">
        <v>601</v>
      </c>
      <c r="F113" s="655">
        <v>8776</v>
      </c>
      <c r="G113" s="656" t="s">
        <v>81</v>
      </c>
      <c r="H113" s="656" t="s">
        <v>1183</v>
      </c>
      <c r="I113" s="656" t="s">
        <v>58</v>
      </c>
      <c r="J113" s="655">
        <v>22</v>
      </c>
      <c r="K113" s="655">
        <v>1</v>
      </c>
      <c r="L113" s="656" t="s">
        <v>34</v>
      </c>
      <c r="M113" s="656" t="s">
        <v>35</v>
      </c>
      <c r="N113" s="656" t="s">
        <v>36</v>
      </c>
      <c r="O113" s="656" t="s">
        <v>37</v>
      </c>
      <c r="P113" s="656" t="s">
        <v>1176</v>
      </c>
      <c r="Q113" s="657">
        <v>0</v>
      </c>
      <c r="R113" s="657">
        <v>0</v>
      </c>
      <c r="S113" s="657">
        <v>1849255</v>
      </c>
      <c r="T113" s="657">
        <v>1849255</v>
      </c>
      <c r="U113" s="657">
        <v>209121</v>
      </c>
      <c r="V113" s="655">
        <v>2021</v>
      </c>
      <c r="W113" s="659"/>
      <c r="X113" s="660">
        <f t="shared" si="5"/>
        <v>8.8429904218132087</v>
      </c>
      <c r="Y113" s="661" t="str">
        <f t="shared" si="3"/>
        <v/>
      </c>
      <c r="Z113" s="661" t="str">
        <f t="shared" si="4"/>
        <v/>
      </c>
    </row>
    <row r="114" spans="1:26" s="128" customFormat="1" ht="25">
      <c r="A114" s="655">
        <v>1607</v>
      </c>
      <c r="B114" s="656" t="s">
        <v>33</v>
      </c>
      <c r="C114" s="655" t="s">
        <v>2793</v>
      </c>
      <c r="D114" s="656" t="s">
        <v>1573</v>
      </c>
      <c r="E114" s="656" t="s">
        <v>601</v>
      </c>
      <c r="F114" s="655">
        <v>8776</v>
      </c>
      <c r="G114" s="656" t="s">
        <v>81</v>
      </c>
      <c r="H114" s="656" t="s">
        <v>1183</v>
      </c>
      <c r="I114" s="656" t="s">
        <v>58</v>
      </c>
      <c r="J114" s="655">
        <v>22</v>
      </c>
      <c r="K114" s="655">
        <v>1</v>
      </c>
      <c r="L114" s="656" t="s">
        <v>34</v>
      </c>
      <c r="M114" s="656" t="s">
        <v>35</v>
      </c>
      <c r="N114" s="656" t="s">
        <v>36</v>
      </c>
      <c r="O114" s="656" t="s">
        <v>37</v>
      </c>
      <c r="P114" s="656" t="s">
        <v>1176</v>
      </c>
      <c r="Q114" s="657">
        <v>0</v>
      </c>
      <c r="R114" s="657">
        <v>0</v>
      </c>
      <c r="S114" s="657">
        <v>248683</v>
      </c>
      <c r="T114" s="657">
        <v>248683</v>
      </c>
      <c r="U114" s="657">
        <v>28122</v>
      </c>
      <c r="V114" s="655">
        <v>2021</v>
      </c>
      <c r="W114" s="659"/>
      <c r="X114" s="660">
        <f t="shared" si="5"/>
        <v>8.8430054761396768</v>
      </c>
      <c r="Y114" s="661" t="str">
        <f t="shared" si="3"/>
        <v/>
      </c>
      <c r="Z114" s="661" t="str">
        <f t="shared" si="4"/>
        <v/>
      </c>
    </row>
    <row r="115" spans="1:26" s="128" customFormat="1" ht="25">
      <c r="A115" s="655">
        <v>1615</v>
      </c>
      <c r="B115" s="656" t="s">
        <v>33</v>
      </c>
      <c r="C115" s="655" t="s">
        <v>2793</v>
      </c>
      <c r="D115" s="656" t="s">
        <v>2797</v>
      </c>
      <c r="E115" s="656" t="s">
        <v>604</v>
      </c>
      <c r="F115" s="655">
        <v>13206</v>
      </c>
      <c r="G115" s="656" t="s">
        <v>81</v>
      </c>
      <c r="H115" s="656" t="s">
        <v>1183</v>
      </c>
      <c r="I115" s="656" t="s">
        <v>58</v>
      </c>
      <c r="J115" s="655">
        <v>22</v>
      </c>
      <c r="K115" s="655">
        <v>1</v>
      </c>
      <c r="L115" s="656" t="s">
        <v>34</v>
      </c>
      <c r="M115" s="656" t="s">
        <v>1890</v>
      </c>
      <c r="N115" s="656" t="s">
        <v>1052</v>
      </c>
      <c r="O115" s="656" t="s">
        <v>82</v>
      </c>
      <c r="P115" s="656" t="s">
        <v>2794</v>
      </c>
      <c r="Q115" s="657">
        <v>269</v>
      </c>
      <c r="R115" s="657">
        <v>269</v>
      </c>
      <c r="S115" s="657">
        <v>0</v>
      </c>
      <c r="T115" s="657">
        <v>0</v>
      </c>
      <c r="U115" s="657">
        <v>-150</v>
      </c>
      <c r="V115" s="655">
        <v>2021</v>
      </c>
      <c r="W115" s="659"/>
      <c r="X115" s="660" t="str">
        <f t="shared" si="5"/>
        <v/>
      </c>
      <c r="Y115" s="661" t="str">
        <f t="shared" si="3"/>
        <v/>
      </c>
      <c r="Z115" s="661" t="str">
        <f t="shared" si="4"/>
        <v/>
      </c>
    </row>
    <row r="116" spans="1:26" s="128" customFormat="1">
      <c r="A116" s="655">
        <v>1615</v>
      </c>
      <c r="B116" s="656" t="s">
        <v>33</v>
      </c>
      <c r="C116" s="655" t="s">
        <v>2793</v>
      </c>
      <c r="D116" s="656" t="s">
        <v>2797</v>
      </c>
      <c r="E116" s="656" t="s">
        <v>604</v>
      </c>
      <c r="F116" s="655">
        <v>13206</v>
      </c>
      <c r="G116" s="656" t="s">
        <v>81</v>
      </c>
      <c r="H116" s="656" t="s">
        <v>1183</v>
      </c>
      <c r="I116" s="656" t="s">
        <v>58</v>
      </c>
      <c r="J116" s="655">
        <v>22</v>
      </c>
      <c r="K116" s="655">
        <v>1</v>
      </c>
      <c r="L116" s="656" t="s">
        <v>34</v>
      </c>
      <c r="M116" s="656" t="s">
        <v>50</v>
      </c>
      <c r="N116" s="656" t="s">
        <v>46</v>
      </c>
      <c r="O116" s="656" t="s">
        <v>46</v>
      </c>
      <c r="P116" s="656" t="s">
        <v>47</v>
      </c>
      <c r="Q116" s="657">
        <v>227</v>
      </c>
      <c r="R116" s="657">
        <v>227</v>
      </c>
      <c r="S116" s="657">
        <v>1311</v>
      </c>
      <c r="T116" s="657">
        <v>1311</v>
      </c>
      <c r="U116" s="657">
        <v>4</v>
      </c>
      <c r="V116" s="655">
        <v>2021</v>
      </c>
      <c r="W116" s="659"/>
      <c r="X116" s="660">
        <f t="shared" si="5"/>
        <v>327.75</v>
      </c>
      <c r="Y116" s="661" t="str">
        <f t="shared" si="3"/>
        <v/>
      </c>
      <c r="Z116" s="661" t="str">
        <f t="shared" si="4"/>
        <v/>
      </c>
    </row>
    <row r="117" spans="1:26" s="128" customFormat="1">
      <c r="A117" s="655">
        <v>1615</v>
      </c>
      <c r="B117" s="656" t="s">
        <v>33</v>
      </c>
      <c r="C117" s="655" t="s">
        <v>2793</v>
      </c>
      <c r="D117" s="656" t="s">
        <v>2797</v>
      </c>
      <c r="E117" s="656" t="s">
        <v>604</v>
      </c>
      <c r="F117" s="655">
        <v>13206</v>
      </c>
      <c r="G117" s="656" t="s">
        <v>81</v>
      </c>
      <c r="H117" s="656" t="s">
        <v>1183</v>
      </c>
      <c r="I117" s="656" t="s">
        <v>58</v>
      </c>
      <c r="J117" s="655">
        <v>22</v>
      </c>
      <c r="K117" s="655">
        <v>1</v>
      </c>
      <c r="L117" s="656" t="s">
        <v>34</v>
      </c>
      <c r="M117" s="656" t="s">
        <v>51</v>
      </c>
      <c r="N117" s="656" t="s">
        <v>46</v>
      </c>
      <c r="O117" s="656" t="s">
        <v>46</v>
      </c>
      <c r="P117" s="656" t="s">
        <v>47</v>
      </c>
      <c r="Q117" s="657">
        <v>2</v>
      </c>
      <c r="R117" s="657">
        <v>2</v>
      </c>
      <c r="S117" s="657">
        <v>12</v>
      </c>
      <c r="T117" s="657">
        <v>12</v>
      </c>
      <c r="U117" s="657">
        <v>1</v>
      </c>
      <c r="V117" s="655">
        <v>2021</v>
      </c>
      <c r="W117" s="659"/>
      <c r="X117" s="660">
        <f t="shared" si="5"/>
        <v>12</v>
      </c>
      <c r="Y117" s="661" t="str">
        <f t="shared" si="3"/>
        <v/>
      </c>
      <c r="Z117" s="661" t="str">
        <f t="shared" si="4"/>
        <v/>
      </c>
    </row>
    <row r="118" spans="1:26" s="128" customFormat="1">
      <c r="A118" s="655">
        <v>1620</v>
      </c>
      <c r="B118" s="656" t="s">
        <v>33</v>
      </c>
      <c r="C118" s="655" t="s">
        <v>2793</v>
      </c>
      <c r="D118" s="656" t="s">
        <v>605</v>
      </c>
      <c r="E118" s="656" t="s">
        <v>2125</v>
      </c>
      <c r="F118" s="655">
        <v>61122</v>
      </c>
      <c r="G118" s="656" t="s">
        <v>81</v>
      </c>
      <c r="H118" s="656" t="s">
        <v>1183</v>
      </c>
      <c r="I118" s="656" t="s">
        <v>58</v>
      </c>
      <c r="J118" s="655">
        <v>22</v>
      </c>
      <c r="K118" s="655">
        <v>2</v>
      </c>
      <c r="L118" s="656" t="s">
        <v>52</v>
      </c>
      <c r="M118" s="656" t="s">
        <v>35</v>
      </c>
      <c r="N118" s="656" t="s">
        <v>36</v>
      </c>
      <c r="O118" s="656" t="s">
        <v>37</v>
      </c>
      <c r="P118" s="656" t="s">
        <v>1176</v>
      </c>
      <c r="Q118" s="657">
        <v>0</v>
      </c>
      <c r="R118" s="657">
        <v>0</v>
      </c>
      <c r="S118" s="657">
        <v>554464</v>
      </c>
      <c r="T118" s="657">
        <v>554464</v>
      </c>
      <c r="U118" s="657">
        <v>62701</v>
      </c>
      <c r="V118" s="655">
        <v>2021</v>
      </c>
      <c r="W118" s="659"/>
      <c r="X118" s="660">
        <f t="shared" si="5"/>
        <v>8.842984960367458</v>
      </c>
      <c r="Y118" s="661" t="str">
        <f t="shared" si="3"/>
        <v/>
      </c>
      <c r="Z118" s="661" t="str">
        <f t="shared" si="4"/>
        <v/>
      </c>
    </row>
    <row r="119" spans="1:26" s="128" customFormat="1" ht="25">
      <c r="A119" s="655">
        <v>1629</v>
      </c>
      <c r="B119" s="656" t="s">
        <v>33</v>
      </c>
      <c r="C119" s="655" t="s">
        <v>2793</v>
      </c>
      <c r="D119" s="656" t="s">
        <v>10</v>
      </c>
      <c r="E119" s="656" t="s">
        <v>1184</v>
      </c>
      <c r="F119" s="655">
        <v>58185</v>
      </c>
      <c r="G119" s="656" t="s">
        <v>81</v>
      </c>
      <c r="H119" s="656" t="s">
        <v>1183</v>
      </c>
      <c r="I119" s="656" t="s">
        <v>58</v>
      </c>
      <c r="J119" s="655">
        <v>22</v>
      </c>
      <c r="K119" s="655">
        <v>2</v>
      </c>
      <c r="L119" s="656" t="s">
        <v>52</v>
      </c>
      <c r="M119" s="656" t="s">
        <v>35</v>
      </c>
      <c r="N119" s="656" t="s">
        <v>36</v>
      </c>
      <c r="O119" s="656" t="s">
        <v>37</v>
      </c>
      <c r="P119" s="656" t="s">
        <v>1176</v>
      </c>
      <c r="Q119" s="657">
        <v>0</v>
      </c>
      <c r="R119" s="657">
        <v>0</v>
      </c>
      <c r="S119" s="657">
        <v>2905924</v>
      </c>
      <c r="T119" s="657">
        <v>2905924</v>
      </c>
      <c r="U119" s="657">
        <v>328613</v>
      </c>
      <c r="V119" s="655">
        <v>2021</v>
      </c>
      <c r="W119" s="659"/>
      <c r="X119" s="660">
        <f t="shared" si="5"/>
        <v>8.8429976902922274</v>
      </c>
      <c r="Y119" s="661" t="str">
        <f t="shared" si="3"/>
        <v/>
      </c>
      <c r="Z119" s="661" t="str">
        <f t="shared" si="4"/>
        <v/>
      </c>
    </row>
    <row r="120" spans="1:26" s="128" customFormat="1" ht="25">
      <c r="A120" s="655">
        <v>1630</v>
      </c>
      <c r="B120" s="656" t="s">
        <v>33</v>
      </c>
      <c r="C120" s="655" t="s">
        <v>2793</v>
      </c>
      <c r="D120" s="656" t="s">
        <v>606</v>
      </c>
      <c r="E120" s="656" t="s">
        <v>601</v>
      </c>
      <c r="F120" s="655">
        <v>8776</v>
      </c>
      <c r="G120" s="656" t="s">
        <v>81</v>
      </c>
      <c r="H120" s="656" t="s">
        <v>1183</v>
      </c>
      <c r="I120" s="656" t="s">
        <v>58</v>
      </c>
      <c r="J120" s="655">
        <v>22</v>
      </c>
      <c r="K120" s="655">
        <v>1</v>
      </c>
      <c r="L120" s="656" t="s">
        <v>34</v>
      </c>
      <c r="M120" s="656" t="s">
        <v>35</v>
      </c>
      <c r="N120" s="656" t="s">
        <v>36</v>
      </c>
      <c r="O120" s="656" t="s">
        <v>37</v>
      </c>
      <c r="P120" s="656" t="s">
        <v>1176</v>
      </c>
      <c r="Q120" s="657">
        <v>0</v>
      </c>
      <c r="R120" s="657">
        <v>0</v>
      </c>
      <c r="S120" s="657">
        <v>184332</v>
      </c>
      <c r="T120" s="657">
        <v>184332</v>
      </c>
      <c r="U120" s="657">
        <v>20845</v>
      </c>
      <c r="V120" s="655">
        <v>2021</v>
      </c>
      <c r="W120" s="659"/>
      <c r="X120" s="660">
        <f t="shared" si="5"/>
        <v>8.8429839289997609</v>
      </c>
      <c r="Y120" s="661" t="str">
        <f t="shared" si="3"/>
        <v/>
      </c>
      <c r="Z120" s="661" t="str">
        <f t="shared" si="4"/>
        <v/>
      </c>
    </row>
    <row r="121" spans="1:26" s="128" customFormat="1" ht="25">
      <c r="A121" s="655">
        <v>1631</v>
      </c>
      <c r="B121" s="656" t="s">
        <v>33</v>
      </c>
      <c r="C121" s="655" t="s">
        <v>2793</v>
      </c>
      <c r="D121" s="656" t="s">
        <v>607</v>
      </c>
      <c r="E121" s="656" t="s">
        <v>1900</v>
      </c>
      <c r="F121" s="655">
        <v>56401</v>
      </c>
      <c r="G121" s="656" t="s">
        <v>81</v>
      </c>
      <c r="H121" s="656" t="s">
        <v>1183</v>
      </c>
      <c r="I121" s="656" t="s">
        <v>58</v>
      </c>
      <c r="J121" s="655">
        <v>22</v>
      </c>
      <c r="K121" s="655">
        <v>2</v>
      </c>
      <c r="L121" s="656" t="s">
        <v>52</v>
      </c>
      <c r="M121" s="656" t="s">
        <v>50</v>
      </c>
      <c r="N121" s="656" t="s">
        <v>66</v>
      </c>
      <c r="O121" s="656" t="s">
        <v>67</v>
      </c>
      <c r="P121" s="656" t="s">
        <v>47</v>
      </c>
      <c r="Q121" s="657">
        <v>0</v>
      </c>
      <c r="R121" s="657">
        <v>0</v>
      </c>
      <c r="S121" s="657">
        <v>0</v>
      </c>
      <c r="T121" s="657">
        <v>0</v>
      </c>
      <c r="U121" s="657">
        <v>0</v>
      </c>
      <c r="V121" s="655">
        <v>2021</v>
      </c>
      <c r="W121" s="659"/>
      <c r="X121" s="660" t="str">
        <f t="shared" si="5"/>
        <v/>
      </c>
      <c r="Y121" s="661" t="str">
        <f t="shared" si="3"/>
        <v/>
      </c>
      <c r="Z121" s="661" t="str">
        <f t="shared" si="4"/>
        <v/>
      </c>
    </row>
    <row r="122" spans="1:26" s="128" customFormat="1" ht="25">
      <c r="A122" s="655">
        <v>1631</v>
      </c>
      <c r="B122" s="656" t="s">
        <v>33</v>
      </c>
      <c r="C122" s="655" t="s">
        <v>2793</v>
      </c>
      <c r="D122" s="656" t="s">
        <v>607</v>
      </c>
      <c r="E122" s="656" t="s">
        <v>1900</v>
      </c>
      <c r="F122" s="655">
        <v>56401</v>
      </c>
      <c r="G122" s="656" t="s">
        <v>81</v>
      </c>
      <c r="H122" s="656" t="s">
        <v>1183</v>
      </c>
      <c r="I122" s="656" t="s">
        <v>58</v>
      </c>
      <c r="J122" s="655">
        <v>22</v>
      </c>
      <c r="K122" s="655">
        <v>2</v>
      </c>
      <c r="L122" s="656" t="s">
        <v>52</v>
      </c>
      <c r="M122" s="656" t="s">
        <v>50</v>
      </c>
      <c r="N122" s="656" t="s">
        <v>76</v>
      </c>
      <c r="O122" s="656" t="s">
        <v>67</v>
      </c>
      <c r="P122" s="656" t="s">
        <v>47</v>
      </c>
      <c r="Q122" s="657">
        <v>189</v>
      </c>
      <c r="R122" s="657">
        <v>189</v>
      </c>
      <c r="S122" s="657">
        <v>1059</v>
      </c>
      <c r="T122" s="657">
        <v>1059</v>
      </c>
      <c r="U122" s="657">
        <v>67</v>
      </c>
      <c r="V122" s="655">
        <v>2021</v>
      </c>
      <c r="W122" s="659"/>
      <c r="X122" s="660">
        <f t="shared" si="5"/>
        <v>15.805970149253731</v>
      </c>
      <c r="Y122" s="661" t="str">
        <f t="shared" si="3"/>
        <v/>
      </c>
      <c r="Z122" s="661" t="str">
        <f t="shared" si="4"/>
        <v/>
      </c>
    </row>
    <row r="123" spans="1:26" s="128" customFormat="1" ht="25">
      <c r="A123" s="655">
        <v>1634</v>
      </c>
      <c r="B123" s="656" t="s">
        <v>33</v>
      </c>
      <c r="C123" s="655" t="s">
        <v>2793</v>
      </c>
      <c r="D123" s="656" t="s">
        <v>608</v>
      </c>
      <c r="E123" s="656" t="s">
        <v>2312</v>
      </c>
      <c r="F123" s="655">
        <v>61350</v>
      </c>
      <c r="G123" s="656" t="s">
        <v>81</v>
      </c>
      <c r="H123" s="656" t="s">
        <v>1183</v>
      </c>
      <c r="I123" s="656" t="s">
        <v>58</v>
      </c>
      <c r="J123" s="655">
        <v>22</v>
      </c>
      <c r="K123" s="655">
        <v>2</v>
      </c>
      <c r="L123" s="656" t="s">
        <v>52</v>
      </c>
      <c r="M123" s="656" t="s">
        <v>35</v>
      </c>
      <c r="N123" s="656" t="s">
        <v>36</v>
      </c>
      <c r="O123" s="656" t="s">
        <v>37</v>
      </c>
      <c r="P123" s="656" t="s">
        <v>1176</v>
      </c>
      <c r="Q123" s="657">
        <v>0</v>
      </c>
      <c r="R123" s="657">
        <v>0</v>
      </c>
      <c r="S123" s="657">
        <v>53818</v>
      </c>
      <c r="T123" s="657">
        <v>53818</v>
      </c>
      <c r="U123" s="657">
        <v>6086</v>
      </c>
      <c r="V123" s="655">
        <v>2021</v>
      </c>
      <c r="W123" s="659"/>
      <c r="X123" s="660">
        <f t="shared" si="5"/>
        <v>8.8429181728557342</v>
      </c>
      <c r="Y123" s="661" t="str">
        <f t="shared" si="3"/>
        <v/>
      </c>
      <c r="Z123" s="661" t="str">
        <f t="shared" si="4"/>
        <v/>
      </c>
    </row>
    <row r="124" spans="1:26" s="128" customFormat="1" ht="25">
      <c r="A124" s="655">
        <v>1637</v>
      </c>
      <c r="B124" s="656" t="s">
        <v>33</v>
      </c>
      <c r="C124" s="655" t="s">
        <v>2793</v>
      </c>
      <c r="D124" s="656" t="s">
        <v>609</v>
      </c>
      <c r="E124" s="656" t="s">
        <v>2312</v>
      </c>
      <c r="F124" s="655">
        <v>61350</v>
      </c>
      <c r="G124" s="656" t="s">
        <v>81</v>
      </c>
      <c r="H124" s="656" t="s">
        <v>1183</v>
      </c>
      <c r="I124" s="656" t="s">
        <v>58</v>
      </c>
      <c r="J124" s="655">
        <v>22</v>
      </c>
      <c r="K124" s="655">
        <v>2</v>
      </c>
      <c r="L124" s="656" t="s">
        <v>52</v>
      </c>
      <c r="M124" s="656" t="s">
        <v>35</v>
      </c>
      <c r="N124" s="656" t="s">
        <v>36</v>
      </c>
      <c r="O124" s="656" t="s">
        <v>37</v>
      </c>
      <c r="P124" s="656" t="s">
        <v>1176</v>
      </c>
      <c r="Q124" s="657">
        <v>0</v>
      </c>
      <c r="R124" s="657">
        <v>0</v>
      </c>
      <c r="S124" s="657">
        <v>92967</v>
      </c>
      <c r="T124" s="657">
        <v>92967</v>
      </c>
      <c r="U124" s="657">
        <v>10513</v>
      </c>
      <c r="V124" s="655">
        <v>2021</v>
      </c>
      <c r="W124" s="659"/>
      <c r="X124" s="660">
        <f t="shared" si="5"/>
        <v>8.8430514600970227</v>
      </c>
      <c r="Y124" s="661" t="str">
        <f t="shared" si="3"/>
        <v/>
      </c>
      <c r="Z124" s="661" t="str">
        <f t="shared" si="4"/>
        <v/>
      </c>
    </row>
    <row r="125" spans="1:26" s="128" customFormat="1" ht="25">
      <c r="A125" s="655">
        <v>1638</v>
      </c>
      <c r="B125" s="656" t="s">
        <v>33</v>
      </c>
      <c r="C125" s="655" t="s">
        <v>2793</v>
      </c>
      <c r="D125" s="656" t="s">
        <v>610</v>
      </c>
      <c r="E125" s="656" t="s">
        <v>2312</v>
      </c>
      <c r="F125" s="655">
        <v>61350</v>
      </c>
      <c r="G125" s="656" t="s">
        <v>81</v>
      </c>
      <c r="H125" s="656" t="s">
        <v>1183</v>
      </c>
      <c r="I125" s="656" t="s">
        <v>58</v>
      </c>
      <c r="J125" s="655">
        <v>22</v>
      </c>
      <c r="K125" s="655">
        <v>2</v>
      </c>
      <c r="L125" s="656" t="s">
        <v>52</v>
      </c>
      <c r="M125" s="656" t="s">
        <v>35</v>
      </c>
      <c r="N125" s="656" t="s">
        <v>36</v>
      </c>
      <c r="O125" s="656" t="s">
        <v>37</v>
      </c>
      <c r="P125" s="656" t="s">
        <v>1176</v>
      </c>
      <c r="Q125" s="657">
        <v>0</v>
      </c>
      <c r="R125" s="657">
        <v>0</v>
      </c>
      <c r="S125" s="657">
        <v>160341</v>
      </c>
      <c r="T125" s="657">
        <v>160341</v>
      </c>
      <c r="U125" s="657">
        <v>18132</v>
      </c>
      <c r="V125" s="655">
        <v>2021</v>
      </c>
      <c r="W125" s="659"/>
      <c r="X125" s="660">
        <f t="shared" si="5"/>
        <v>8.8429847782925215</v>
      </c>
      <c r="Y125" s="661" t="str">
        <f t="shared" si="3"/>
        <v/>
      </c>
      <c r="Z125" s="661" t="str">
        <f t="shared" si="4"/>
        <v/>
      </c>
    </row>
    <row r="126" spans="1:26" s="128" customFormat="1" ht="25">
      <c r="A126" s="655">
        <v>1642</v>
      </c>
      <c r="B126" s="656" t="s">
        <v>33</v>
      </c>
      <c r="C126" s="655" t="s">
        <v>2793</v>
      </c>
      <c r="D126" s="656" t="s">
        <v>1824</v>
      </c>
      <c r="E126" s="656" t="s">
        <v>1900</v>
      </c>
      <c r="F126" s="655">
        <v>56401</v>
      </c>
      <c r="G126" s="656" t="s">
        <v>81</v>
      </c>
      <c r="H126" s="656" t="s">
        <v>1183</v>
      </c>
      <c r="I126" s="656" t="s">
        <v>58</v>
      </c>
      <c r="J126" s="655">
        <v>22</v>
      </c>
      <c r="K126" s="655">
        <v>2</v>
      </c>
      <c r="L126" s="656" t="s">
        <v>52</v>
      </c>
      <c r="M126" s="656" t="s">
        <v>50</v>
      </c>
      <c r="N126" s="656" t="s">
        <v>46</v>
      </c>
      <c r="O126" s="656" t="s">
        <v>46</v>
      </c>
      <c r="P126" s="656" t="s">
        <v>47</v>
      </c>
      <c r="Q126" s="657">
        <v>1547</v>
      </c>
      <c r="R126" s="657">
        <v>1547</v>
      </c>
      <c r="S126" s="657">
        <v>8512</v>
      </c>
      <c r="T126" s="657">
        <v>8512</v>
      </c>
      <c r="U126" s="657">
        <v>787.44500000000005</v>
      </c>
      <c r="V126" s="655">
        <v>2021</v>
      </c>
      <c r="W126" s="659" t="s">
        <v>3675</v>
      </c>
      <c r="X126" s="660">
        <f t="shared" si="5"/>
        <v>10.809643848141775</v>
      </c>
      <c r="Y126" s="661" t="str">
        <f t="shared" si="3"/>
        <v/>
      </c>
      <c r="Z126" s="661" t="str">
        <f t="shared" si="4"/>
        <v/>
      </c>
    </row>
    <row r="127" spans="1:26" s="128" customFormat="1" ht="25">
      <c r="A127" s="655">
        <v>1642</v>
      </c>
      <c r="B127" s="656" t="s">
        <v>33</v>
      </c>
      <c r="C127" s="655" t="s">
        <v>2793</v>
      </c>
      <c r="D127" s="656" t="s">
        <v>1824</v>
      </c>
      <c r="E127" s="656" t="s">
        <v>1900</v>
      </c>
      <c r="F127" s="655">
        <v>56401</v>
      </c>
      <c r="G127" s="656" t="s">
        <v>81</v>
      </c>
      <c r="H127" s="656" t="s">
        <v>1183</v>
      </c>
      <c r="I127" s="656" t="s">
        <v>58</v>
      </c>
      <c r="J127" s="655">
        <v>22</v>
      </c>
      <c r="K127" s="655">
        <v>2</v>
      </c>
      <c r="L127" s="656" t="s">
        <v>52</v>
      </c>
      <c r="M127" s="656" t="s">
        <v>50</v>
      </c>
      <c r="N127" s="656" t="s">
        <v>76</v>
      </c>
      <c r="O127" s="656" t="s">
        <v>67</v>
      </c>
      <c r="P127" s="656" t="s">
        <v>47</v>
      </c>
      <c r="Q127" s="657">
        <v>651</v>
      </c>
      <c r="R127" s="657">
        <v>651</v>
      </c>
      <c r="S127" s="657">
        <v>3646</v>
      </c>
      <c r="T127" s="657">
        <v>3646</v>
      </c>
      <c r="U127" s="657">
        <v>337.39299999999997</v>
      </c>
      <c r="V127" s="655">
        <v>2021</v>
      </c>
      <c r="W127" s="659" t="s">
        <v>3675</v>
      </c>
      <c r="X127" s="660">
        <f t="shared" si="5"/>
        <v>10.806388988508951</v>
      </c>
      <c r="Y127" s="661" t="str">
        <f t="shared" si="3"/>
        <v/>
      </c>
      <c r="Z127" s="661" t="str">
        <f t="shared" si="4"/>
        <v/>
      </c>
    </row>
    <row r="128" spans="1:26" s="128" customFormat="1" ht="25">
      <c r="A128" s="655">
        <v>1642</v>
      </c>
      <c r="B128" s="656" t="s">
        <v>33</v>
      </c>
      <c r="C128" s="655" t="s">
        <v>2793</v>
      </c>
      <c r="D128" s="656" t="s">
        <v>1824</v>
      </c>
      <c r="E128" s="656" t="s">
        <v>1900</v>
      </c>
      <c r="F128" s="655">
        <v>56401</v>
      </c>
      <c r="G128" s="656" t="s">
        <v>81</v>
      </c>
      <c r="H128" s="656" t="s">
        <v>1183</v>
      </c>
      <c r="I128" s="656" t="s">
        <v>58</v>
      </c>
      <c r="J128" s="655">
        <v>22</v>
      </c>
      <c r="K128" s="655">
        <v>2</v>
      </c>
      <c r="L128" s="656" t="s">
        <v>52</v>
      </c>
      <c r="M128" s="656" t="s">
        <v>50</v>
      </c>
      <c r="N128" s="656" t="s">
        <v>39</v>
      </c>
      <c r="O128" s="656" t="s">
        <v>39</v>
      </c>
      <c r="P128" s="656" t="s">
        <v>1037</v>
      </c>
      <c r="Q128" s="657">
        <v>16068</v>
      </c>
      <c r="R128" s="657">
        <v>16068</v>
      </c>
      <c r="S128" s="657">
        <v>16566</v>
      </c>
      <c r="T128" s="657">
        <v>16566</v>
      </c>
      <c r="U128" s="657">
        <v>1533.162</v>
      </c>
      <c r="V128" s="655">
        <v>2021</v>
      </c>
      <c r="W128" s="659" t="s">
        <v>3675</v>
      </c>
      <c r="X128" s="660">
        <f t="shared" si="5"/>
        <v>10.805120398235802</v>
      </c>
      <c r="Y128" s="661" t="str">
        <f t="shared" si="3"/>
        <v/>
      </c>
      <c r="Z128" s="661" t="str">
        <f t="shared" si="4"/>
        <v/>
      </c>
    </row>
    <row r="129" spans="1:26" s="128" customFormat="1" ht="25">
      <c r="A129" s="655">
        <v>1642</v>
      </c>
      <c r="B129" s="656" t="s">
        <v>33</v>
      </c>
      <c r="C129" s="655" t="s">
        <v>2793</v>
      </c>
      <c r="D129" s="656" t="s">
        <v>1824</v>
      </c>
      <c r="E129" s="656" t="s">
        <v>1900</v>
      </c>
      <c r="F129" s="655">
        <v>56401</v>
      </c>
      <c r="G129" s="656" t="s">
        <v>81</v>
      </c>
      <c r="H129" s="656" t="s">
        <v>1183</v>
      </c>
      <c r="I129" s="656" t="s">
        <v>58</v>
      </c>
      <c r="J129" s="655">
        <v>22</v>
      </c>
      <c r="K129" s="655">
        <v>2</v>
      </c>
      <c r="L129" s="656" t="s">
        <v>52</v>
      </c>
      <c r="M129" s="656" t="s">
        <v>42</v>
      </c>
      <c r="N129" s="656" t="s">
        <v>39</v>
      </c>
      <c r="O129" s="656" t="s">
        <v>39</v>
      </c>
      <c r="P129" s="656" t="s">
        <v>1037</v>
      </c>
      <c r="Q129" s="657">
        <v>1562</v>
      </c>
      <c r="R129" s="657">
        <v>1562</v>
      </c>
      <c r="S129" s="657">
        <v>1614</v>
      </c>
      <c r="T129" s="657">
        <v>1614</v>
      </c>
      <c r="U129" s="657">
        <v>143.06899999999999</v>
      </c>
      <c r="V129" s="655">
        <v>2021</v>
      </c>
      <c r="W129" s="659" t="s">
        <v>3675</v>
      </c>
      <c r="X129" s="660">
        <f t="shared" si="5"/>
        <v>11.281269876772747</v>
      </c>
      <c r="Y129" s="661" t="str">
        <f t="shared" si="3"/>
        <v/>
      </c>
      <c r="Z129" s="661" t="str">
        <f t="shared" si="4"/>
        <v/>
      </c>
    </row>
    <row r="130" spans="1:26" s="128" customFormat="1" ht="25">
      <c r="A130" s="655">
        <v>1642</v>
      </c>
      <c r="B130" s="656" t="s">
        <v>33</v>
      </c>
      <c r="C130" s="655" t="s">
        <v>2793</v>
      </c>
      <c r="D130" s="656" t="s">
        <v>1824</v>
      </c>
      <c r="E130" s="656" t="s">
        <v>1900</v>
      </c>
      <c r="F130" s="655">
        <v>56401</v>
      </c>
      <c r="G130" s="656" t="s">
        <v>81</v>
      </c>
      <c r="H130" s="656" t="s">
        <v>1183</v>
      </c>
      <c r="I130" s="656" t="s">
        <v>58</v>
      </c>
      <c r="J130" s="655">
        <v>22</v>
      </c>
      <c r="K130" s="655">
        <v>2</v>
      </c>
      <c r="L130" s="656" t="s">
        <v>52</v>
      </c>
      <c r="M130" s="656" t="s">
        <v>42</v>
      </c>
      <c r="N130" s="656" t="s">
        <v>61</v>
      </c>
      <c r="O130" s="656" t="s">
        <v>61</v>
      </c>
      <c r="P130" s="656" t="s">
        <v>47</v>
      </c>
      <c r="Q130" s="657">
        <v>6057</v>
      </c>
      <c r="R130" s="657">
        <v>6057</v>
      </c>
      <c r="S130" s="657">
        <v>35131</v>
      </c>
      <c r="T130" s="657">
        <v>35131</v>
      </c>
      <c r="U130" s="657">
        <v>3114.931</v>
      </c>
      <c r="V130" s="655">
        <v>2021</v>
      </c>
      <c r="W130" s="659" t="s">
        <v>3675</v>
      </c>
      <c r="X130" s="660">
        <f t="shared" si="5"/>
        <v>11.27825945422226</v>
      </c>
      <c r="Y130" s="661" t="str">
        <f t="shared" si="3"/>
        <v/>
      </c>
      <c r="Z130" s="661" t="str">
        <f t="shared" si="4"/>
        <v/>
      </c>
    </row>
    <row r="131" spans="1:26" s="128" customFormat="1" ht="25">
      <c r="A131" s="655">
        <v>1643</v>
      </c>
      <c r="B131" s="656" t="s">
        <v>33</v>
      </c>
      <c r="C131" s="655" t="s">
        <v>2793</v>
      </c>
      <c r="D131" s="656" t="s">
        <v>611</v>
      </c>
      <c r="E131" s="656" t="s">
        <v>1900</v>
      </c>
      <c r="F131" s="655">
        <v>56401</v>
      </c>
      <c r="G131" s="656" t="s">
        <v>81</v>
      </c>
      <c r="H131" s="656" t="s">
        <v>1183</v>
      </c>
      <c r="I131" s="656" t="s">
        <v>58</v>
      </c>
      <c r="J131" s="655">
        <v>22</v>
      </c>
      <c r="K131" s="655">
        <v>2</v>
      </c>
      <c r="L131" s="656" t="s">
        <v>52</v>
      </c>
      <c r="M131" s="656" t="s">
        <v>50</v>
      </c>
      <c r="N131" s="656" t="s">
        <v>46</v>
      </c>
      <c r="O131" s="656" t="s">
        <v>46</v>
      </c>
      <c r="P131" s="656" t="s">
        <v>47</v>
      </c>
      <c r="Q131" s="657">
        <v>0</v>
      </c>
      <c r="R131" s="657">
        <v>0</v>
      </c>
      <c r="S131" s="657">
        <v>0</v>
      </c>
      <c r="T131" s="657">
        <v>0</v>
      </c>
      <c r="U131" s="657">
        <v>0</v>
      </c>
      <c r="V131" s="655">
        <v>2021</v>
      </c>
      <c r="W131" s="659"/>
      <c r="X131" s="660" t="str">
        <f t="shared" si="5"/>
        <v/>
      </c>
      <c r="Y131" s="661" t="str">
        <f t="shared" si="3"/>
        <v/>
      </c>
      <c r="Z131" s="661" t="str">
        <f t="shared" si="4"/>
        <v/>
      </c>
    </row>
    <row r="132" spans="1:26" s="128" customFormat="1" ht="25">
      <c r="A132" s="655">
        <v>1643</v>
      </c>
      <c r="B132" s="656" t="s">
        <v>33</v>
      </c>
      <c r="C132" s="655" t="s">
        <v>2793</v>
      </c>
      <c r="D132" s="656" t="s">
        <v>611</v>
      </c>
      <c r="E132" s="656" t="s">
        <v>1900</v>
      </c>
      <c r="F132" s="655">
        <v>56401</v>
      </c>
      <c r="G132" s="656" t="s">
        <v>81</v>
      </c>
      <c r="H132" s="656" t="s">
        <v>1183</v>
      </c>
      <c r="I132" s="656" t="s">
        <v>58</v>
      </c>
      <c r="J132" s="655">
        <v>22</v>
      </c>
      <c r="K132" s="655">
        <v>2</v>
      </c>
      <c r="L132" s="656" t="s">
        <v>52</v>
      </c>
      <c r="M132" s="656" t="s">
        <v>50</v>
      </c>
      <c r="N132" s="656" t="s">
        <v>66</v>
      </c>
      <c r="O132" s="656" t="s">
        <v>67</v>
      </c>
      <c r="P132" s="656" t="s">
        <v>47</v>
      </c>
      <c r="Q132" s="657">
        <v>0</v>
      </c>
      <c r="R132" s="657">
        <v>0</v>
      </c>
      <c r="S132" s="657">
        <v>0</v>
      </c>
      <c r="T132" s="657">
        <v>0</v>
      </c>
      <c r="U132" s="657">
        <v>0</v>
      </c>
      <c r="V132" s="655">
        <v>2021</v>
      </c>
      <c r="W132" s="659"/>
      <c r="X132" s="660" t="str">
        <f t="shared" si="5"/>
        <v/>
      </c>
      <c r="Y132" s="661" t="str">
        <f t="shared" si="3"/>
        <v/>
      </c>
      <c r="Z132" s="661" t="str">
        <f t="shared" si="4"/>
        <v/>
      </c>
    </row>
    <row r="133" spans="1:26" s="128" customFormat="1" ht="25">
      <c r="A133" s="655">
        <v>1643</v>
      </c>
      <c r="B133" s="656" t="s">
        <v>33</v>
      </c>
      <c r="C133" s="655" t="s">
        <v>2793</v>
      </c>
      <c r="D133" s="656" t="s">
        <v>611</v>
      </c>
      <c r="E133" s="656" t="s">
        <v>1900</v>
      </c>
      <c r="F133" s="655">
        <v>56401</v>
      </c>
      <c r="G133" s="656" t="s">
        <v>81</v>
      </c>
      <c r="H133" s="656" t="s">
        <v>1183</v>
      </c>
      <c r="I133" s="656" t="s">
        <v>58</v>
      </c>
      <c r="J133" s="655">
        <v>22</v>
      </c>
      <c r="K133" s="655">
        <v>2</v>
      </c>
      <c r="L133" s="656" t="s">
        <v>52</v>
      </c>
      <c r="M133" s="656" t="s">
        <v>50</v>
      </c>
      <c r="N133" s="656" t="s">
        <v>76</v>
      </c>
      <c r="O133" s="656" t="s">
        <v>67</v>
      </c>
      <c r="P133" s="656" t="s">
        <v>47</v>
      </c>
      <c r="Q133" s="657">
        <v>369</v>
      </c>
      <c r="R133" s="657">
        <v>369</v>
      </c>
      <c r="S133" s="657">
        <v>2067</v>
      </c>
      <c r="T133" s="657">
        <v>2067</v>
      </c>
      <c r="U133" s="657">
        <v>134</v>
      </c>
      <c r="V133" s="655">
        <v>2021</v>
      </c>
      <c r="W133" s="659"/>
      <c r="X133" s="660">
        <f t="shared" si="5"/>
        <v>15.425373134328359</v>
      </c>
      <c r="Y133" s="661" t="str">
        <f t="shared" si="3"/>
        <v/>
      </c>
      <c r="Z133" s="661" t="str">
        <f t="shared" si="4"/>
        <v/>
      </c>
    </row>
    <row r="134" spans="1:26" s="128" customFormat="1">
      <c r="A134" s="655">
        <v>1660</v>
      </c>
      <c r="B134" s="656" t="s">
        <v>33</v>
      </c>
      <c r="C134" s="655" t="s">
        <v>2793</v>
      </c>
      <c r="D134" s="656" t="s">
        <v>12</v>
      </c>
      <c r="E134" s="656" t="s">
        <v>1101</v>
      </c>
      <c r="F134" s="655">
        <v>2144</v>
      </c>
      <c r="G134" s="656" t="s">
        <v>81</v>
      </c>
      <c r="H134" s="656" t="s">
        <v>1183</v>
      </c>
      <c r="I134" s="656" t="s">
        <v>58</v>
      </c>
      <c r="J134" s="655">
        <v>22</v>
      </c>
      <c r="K134" s="655">
        <v>1</v>
      </c>
      <c r="L134" s="656" t="s">
        <v>34</v>
      </c>
      <c r="M134" s="656" t="s">
        <v>38</v>
      </c>
      <c r="N134" s="656" t="s">
        <v>46</v>
      </c>
      <c r="O134" s="656" t="s">
        <v>46</v>
      </c>
      <c r="P134" s="656" t="s">
        <v>47</v>
      </c>
      <c r="Q134" s="657">
        <v>0</v>
      </c>
      <c r="R134" s="657">
        <v>0</v>
      </c>
      <c r="S134" s="657">
        <v>0</v>
      </c>
      <c r="T134" s="657">
        <v>0</v>
      </c>
      <c r="U134" s="657">
        <v>0</v>
      </c>
      <c r="V134" s="655">
        <v>2021</v>
      </c>
      <c r="W134" s="659" t="s">
        <v>3675</v>
      </c>
      <c r="X134" s="660" t="str">
        <f t="shared" si="5"/>
        <v/>
      </c>
      <c r="Y134" s="661" t="str">
        <f t="shared" si="3"/>
        <v/>
      </c>
      <c r="Z134" s="661" t="str">
        <f t="shared" si="4"/>
        <v/>
      </c>
    </row>
    <row r="135" spans="1:26" s="128" customFormat="1">
      <c r="A135" s="655">
        <v>1660</v>
      </c>
      <c r="B135" s="656" t="s">
        <v>33</v>
      </c>
      <c r="C135" s="655" t="s">
        <v>2793</v>
      </c>
      <c r="D135" s="656" t="s">
        <v>12</v>
      </c>
      <c r="E135" s="656" t="s">
        <v>1101</v>
      </c>
      <c r="F135" s="655">
        <v>2144</v>
      </c>
      <c r="G135" s="656" t="s">
        <v>81</v>
      </c>
      <c r="H135" s="656" t="s">
        <v>1183</v>
      </c>
      <c r="I135" s="656" t="s">
        <v>58</v>
      </c>
      <c r="J135" s="655">
        <v>22</v>
      </c>
      <c r="K135" s="655">
        <v>1</v>
      </c>
      <c r="L135" s="656" t="s">
        <v>34</v>
      </c>
      <c r="M135" s="656" t="s">
        <v>38</v>
      </c>
      <c r="N135" s="656" t="s">
        <v>39</v>
      </c>
      <c r="O135" s="656" t="s">
        <v>39</v>
      </c>
      <c r="P135" s="656" t="s">
        <v>1037</v>
      </c>
      <c r="Q135" s="657">
        <v>0</v>
      </c>
      <c r="R135" s="657">
        <v>0</v>
      </c>
      <c r="S135" s="657">
        <v>0</v>
      </c>
      <c r="T135" s="657">
        <v>0</v>
      </c>
      <c r="U135" s="657">
        <v>0</v>
      </c>
      <c r="V135" s="655">
        <v>2021</v>
      </c>
      <c r="W135" s="659" t="s">
        <v>3675</v>
      </c>
      <c r="X135" s="660" t="str">
        <f t="shared" si="5"/>
        <v/>
      </c>
      <c r="Y135" s="661" t="str">
        <f t="shared" ref="Y135:Y198" si="6">IF(AND($M135=$Y$2,$N135=$Y$3,NOT($Q135=$R135),NOT($U135=0)),IF($K135=5,$S135/($U135+(8/5)*$U135),IF($K135=7,$S135/($U135+(29/25)*$U135),"")),"")</f>
        <v/>
      </c>
      <c r="Z135" s="661" t="str">
        <f t="shared" ref="Z135:Z198" si="7">IF(AND($M135=$Y$2,$N135=$Y$4,NOT($Q135=$R135),NOT($U135=0)),IF($K135=5,$S135/($U135+(8/5)*$U135),IF($K135=7,$S135/($U135+(29/25)*$U135),"")),"")</f>
        <v/>
      </c>
    </row>
    <row r="136" spans="1:26" s="128" customFormat="1">
      <c r="A136" s="655">
        <v>1660</v>
      </c>
      <c r="B136" s="656" t="s">
        <v>33</v>
      </c>
      <c r="C136" s="655" t="s">
        <v>2793</v>
      </c>
      <c r="D136" s="656" t="s">
        <v>12</v>
      </c>
      <c r="E136" s="656" t="s">
        <v>1101</v>
      </c>
      <c r="F136" s="655">
        <v>2144</v>
      </c>
      <c r="G136" s="656" t="s">
        <v>81</v>
      </c>
      <c r="H136" s="656" t="s">
        <v>1183</v>
      </c>
      <c r="I136" s="656" t="s">
        <v>58</v>
      </c>
      <c r="J136" s="655">
        <v>22</v>
      </c>
      <c r="K136" s="655">
        <v>1</v>
      </c>
      <c r="L136" s="656" t="s">
        <v>34</v>
      </c>
      <c r="M136" s="656" t="s">
        <v>41</v>
      </c>
      <c r="N136" s="656" t="s">
        <v>46</v>
      </c>
      <c r="O136" s="656" t="s">
        <v>46</v>
      </c>
      <c r="P136" s="656" t="s">
        <v>47</v>
      </c>
      <c r="Q136" s="657">
        <v>0</v>
      </c>
      <c r="R136" s="657">
        <v>0</v>
      </c>
      <c r="S136" s="657">
        <v>0</v>
      </c>
      <c r="T136" s="657">
        <v>0</v>
      </c>
      <c r="U136" s="657">
        <v>0</v>
      </c>
      <c r="V136" s="655">
        <v>2021</v>
      </c>
      <c r="W136" s="659" t="s">
        <v>3675</v>
      </c>
      <c r="X136" s="660" t="str">
        <f t="shared" ref="X136:X199" si="8">IF(OR(K136&gt;3,T136=0,NOT(U136&gt;0)),"",T136/U136)</f>
        <v/>
      </c>
      <c r="Y136" s="661" t="str">
        <f t="shared" si="6"/>
        <v/>
      </c>
      <c r="Z136" s="661" t="str">
        <f t="shared" si="7"/>
        <v/>
      </c>
    </row>
    <row r="137" spans="1:26" s="128" customFormat="1">
      <c r="A137" s="655">
        <v>1660</v>
      </c>
      <c r="B137" s="656" t="s">
        <v>33</v>
      </c>
      <c r="C137" s="655" t="s">
        <v>2793</v>
      </c>
      <c r="D137" s="656" t="s">
        <v>12</v>
      </c>
      <c r="E137" s="656" t="s">
        <v>1101</v>
      </c>
      <c r="F137" s="655">
        <v>2144</v>
      </c>
      <c r="G137" s="656" t="s">
        <v>81</v>
      </c>
      <c r="H137" s="656" t="s">
        <v>1183</v>
      </c>
      <c r="I137" s="656" t="s">
        <v>58</v>
      </c>
      <c r="J137" s="655">
        <v>22</v>
      </c>
      <c r="K137" s="655">
        <v>1</v>
      </c>
      <c r="L137" s="656" t="s">
        <v>34</v>
      </c>
      <c r="M137" s="656" t="s">
        <v>41</v>
      </c>
      <c r="N137" s="656" t="s">
        <v>39</v>
      </c>
      <c r="O137" s="656" t="s">
        <v>39</v>
      </c>
      <c r="P137" s="656" t="s">
        <v>1037</v>
      </c>
      <c r="Q137" s="657">
        <v>0</v>
      </c>
      <c r="R137" s="657">
        <v>0</v>
      </c>
      <c r="S137" s="657">
        <v>0</v>
      </c>
      <c r="T137" s="657">
        <v>0</v>
      </c>
      <c r="U137" s="657">
        <v>0</v>
      </c>
      <c r="V137" s="655">
        <v>2021</v>
      </c>
      <c r="W137" s="659" t="s">
        <v>3675</v>
      </c>
      <c r="X137" s="660" t="str">
        <f t="shared" si="8"/>
        <v/>
      </c>
      <c r="Y137" s="661" t="str">
        <f t="shared" si="6"/>
        <v/>
      </c>
      <c r="Z137" s="661" t="str">
        <f t="shared" si="7"/>
        <v/>
      </c>
    </row>
    <row r="138" spans="1:26" s="128" customFormat="1">
      <c r="A138" s="655">
        <v>1660</v>
      </c>
      <c r="B138" s="656" t="s">
        <v>33</v>
      </c>
      <c r="C138" s="655" t="s">
        <v>2793</v>
      </c>
      <c r="D138" s="656" t="s">
        <v>12</v>
      </c>
      <c r="E138" s="656" t="s">
        <v>1101</v>
      </c>
      <c r="F138" s="655">
        <v>2144</v>
      </c>
      <c r="G138" s="656" t="s">
        <v>81</v>
      </c>
      <c r="H138" s="656" t="s">
        <v>1183</v>
      </c>
      <c r="I138" s="656" t="s">
        <v>58</v>
      </c>
      <c r="J138" s="655">
        <v>22</v>
      </c>
      <c r="K138" s="655">
        <v>1</v>
      </c>
      <c r="L138" s="656" t="s">
        <v>34</v>
      </c>
      <c r="M138" s="656" t="s">
        <v>50</v>
      </c>
      <c r="N138" s="656" t="s">
        <v>46</v>
      </c>
      <c r="O138" s="656" t="s">
        <v>46</v>
      </c>
      <c r="P138" s="656" t="s">
        <v>47</v>
      </c>
      <c r="Q138" s="657">
        <v>12411</v>
      </c>
      <c r="R138" s="657">
        <v>12411</v>
      </c>
      <c r="S138" s="657">
        <v>72145</v>
      </c>
      <c r="T138" s="657">
        <v>72145</v>
      </c>
      <c r="U138" s="657">
        <v>7419.4210000000003</v>
      </c>
      <c r="V138" s="655">
        <v>2021</v>
      </c>
      <c r="W138" s="659" t="s">
        <v>3675</v>
      </c>
      <c r="X138" s="660">
        <f t="shared" si="8"/>
        <v>9.7238045933772987</v>
      </c>
      <c r="Y138" s="661" t="str">
        <f t="shared" si="6"/>
        <v/>
      </c>
      <c r="Z138" s="661" t="str">
        <f t="shared" si="7"/>
        <v/>
      </c>
    </row>
    <row r="139" spans="1:26" s="128" customFormat="1">
      <c r="A139" s="655">
        <v>1660</v>
      </c>
      <c r="B139" s="656" t="s">
        <v>33</v>
      </c>
      <c r="C139" s="655" t="s">
        <v>2793</v>
      </c>
      <c r="D139" s="656" t="s">
        <v>12</v>
      </c>
      <c r="E139" s="656" t="s">
        <v>1101</v>
      </c>
      <c r="F139" s="655">
        <v>2144</v>
      </c>
      <c r="G139" s="656" t="s">
        <v>81</v>
      </c>
      <c r="H139" s="656" t="s">
        <v>1183</v>
      </c>
      <c r="I139" s="656" t="s">
        <v>58</v>
      </c>
      <c r="J139" s="655">
        <v>22</v>
      </c>
      <c r="K139" s="655">
        <v>1</v>
      </c>
      <c r="L139" s="656" t="s">
        <v>34</v>
      </c>
      <c r="M139" s="656" t="s">
        <v>50</v>
      </c>
      <c r="N139" s="656" t="s">
        <v>39</v>
      </c>
      <c r="O139" s="656" t="s">
        <v>39</v>
      </c>
      <c r="P139" s="656" t="s">
        <v>1037</v>
      </c>
      <c r="Q139" s="657">
        <v>145314</v>
      </c>
      <c r="R139" s="657">
        <v>145314</v>
      </c>
      <c r="S139" s="657">
        <v>149675</v>
      </c>
      <c r="T139" s="657">
        <v>149675</v>
      </c>
      <c r="U139" s="657">
        <v>15393.579</v>
      </c>
      <c r="V139" s="655">
        <v>2021</v>
      </c>
      <c r="W139" s="659" t="s">
        <v>3675</v>
      </c>
      <c r="X139" s="660">
        <f t="shared" si="8"/>
        <v>9.7232099175896654</v>
      </c>
      <c r="Y139" s="661" t="str">
        <f t="shared" si="6"/>
        <v/>
      </c>
      <c r="Z139" s="661" t="str">
        <f t="shared" si="7"/>
        <v/>
      </c>
    </row>
    <row r="140" spans="1:26" s="128" customFormat="1">
      <c r="A140" s="655">
        <v>1660</v>
      </c>
      <c r="B140" s="656" t="s">
        <v>33</v>
      </c>
      <c r="C140" s="655" t="s">
        <v>2793</v>
      </c>
      <c r="D140" s="656" t="s">
        <v>12</v>
      </c>
      <c r="E140" s="656" t="s">
        <v>1101</v>
      </c>
      <c r="F140" s="655">
        <v>2144</v>
      </c>
      <c r="G140" s="656" t="s">
        <v>81</v>
      </c>
      <c r="H140" s="656" t="s">
        <v>1183</v>
      </c>
      <c r="I140" s="656" t="s">
        <v>58</v>
      </c>
      <c r="J140" s="655">
        <v>22</v>
      </c>
      <c r="K140" s="655">
        <v>1</v>
      </c>
      <c r="L140" s="656" t="s">
        <v>34</v>
      </c>
      <c r="M140" s="656" t="s">
        <v>51</v>
      </c>
      <c r="N140" s="656" t="s">
        <v>46</v>
      </c>
      <c r="O140" s="656" t="s">
        <v>46</v>
      </c>
      <c r="P140" s="656" t="s">
        <v>47</v>
      </c>
      <c r="Q140" s="657">
        <v>0</v>
      </c>
      <c r="R140" s="657">
        <v>0</v>
      </c>
      <c r="S140" s="657">
        <v>0</v>
      </c>
      <c r="T140" s="657">
        <v>0</v>
      </c>
      <c r="U140" s="657">
        <v>0</v>
      </c>
      <c r="V140" s="655">
        <v>2021</v>
      </c>
      <c r="W140" s="659"/>
      <c r="X140" s="660" t="str">
        <f t="shared" si="8"/>
        <v/>
      </c>
      <c r="Y140" s="661" t="str">
        <f t="shared" si="6"/>
        <v/>
      </c>
      <c r="Z140" s="661" t="str">
        <f t="shared" si="7"/>
        <v/>
      </c>
    </row>
    <row r="141" spans="1:26" s="128" customFormat="1">
      <c r="A141" s="655">
        <v>1670</v>
      </c>
      <c r="B141" s="656" t="s">
        <v>33</v>
      </c>
      <c r="C141" s="655" t="s">
        <v>2793</v>
      </c>
      <c r="D141" s="656" t="s">
        <v>612</v>
      </c>
      <c r="E141" s="656" t="s">
        <v>1189</v>
      </c>
      <c r="F141" s="655">
        <v>9442</v>
      </c>
      <c r="G141" s="656" t="s">
        <v>81</v>
      </c>
      <c r="H141" s="656" t="s">
        <v>1183</v>
      </c>
      <c r="I141" s="656" t="s">
        <v>58</v>
      </c>
      <c r="J141" s="655">
        <v>22</v>
      </c>
      <c r="K141" s="655">
        <v>1</v>
      </c>
      <c r="L141" s="656" t="s">
        <v>34</v>
      </c>
      <c r="M141" s="656" t="s">
        <v>51</v>
      </c>
      <c r="N141" s="656" t="s">
        <v>46</v>
      </c>
      <c r="O141" s="656" t="s">
        <v>46</v>
      </c>
      <c r="P141" s="656" t="s">
        <v>47</v>
      </c>
      <c r="Q141" s="657">
        <v>63</v>
      </c>
      <c r="R141" s="657">
        <v>63</v>
      </c>
      <c r="S141" s="657">
        <v>366</v>
      </c>
      <c r="T141" s="657">
        <v>366</v>
      </c>
      <c r="U141" s="657">
        <v>31.888000000000002</v>
      </c>
      <c r="V141" s="655">
        <v>2021</v>
      </c>
      <c r="W141" s="659"/>
      <c r="X141" s="660">
        <f t="shared" si="8"/>
        <v>11.47767185148018</v>
      </c>
      <c r="Y141" s="661" t="str">
        <f t="shared" si="6"/>
        <v/>
      </c>
      <c r="Z141" s="661" t="str">
        <f t="shared" si="7"/>
        <v/>
      </c>
    </row>
    <row r="142" spans="1:26" s="128" customFormat="1">
      <c r="A142" s="655">
        <v>1670</v>
      </c>
      <c r="B142" s="656" t="s">
        <v>33</v>
      </c>
      <c r="C142" s="655" t="s">
        <v>2793</v>
      </c>
      <c r="D142" s="656" t="s">
        <v>612</v>
      </c>
      <c r="E142" s="656" t="s">
        <v>1189</v>
      </c>
      <c r="F142" s="655">
        <v>9442</v>
      </c>
      <c r="G142" s="656" t="s">
        <v>81</v>
      </c>
      <c r="H142" s="656" t="s">
        <v>1183</v>
      </c>
      <c r="I142" s="656" t="s">
        <v>58</v>
      </c>
      <c r="J142" s="655">
        <v>22</v>
      </c>
      <c r="K142" s="655">
        <v>1</v>
      </c>
      <c r="L142" s="656" t="s">
        <v>34</v>
      </c>
      <c r="M142" s="656" t="s">
        <v>51</v>
      </c>
      <c r="N142" s="656" t="s">
        <v>39</v>
      </c>
      <c r="O142" s="656" t="s">
        <v>39</v>
      </c>
      <c r="P142" s="656" t="s">
        <v>1037</v>
      </c>
      <c r="Q142" s="657">
        <v>6209</v>
      </c>
      <c r="R142" s="657">
        <v>6209</v>
      </c>
      <c r="S142" s="657">
        <v>6395</v>
      </c>
      <c r="T142" s="657">
        <v>6395</v>
      </c>
      <c r="U142" s="657">
        <v>558.11199999999997</v>
      </c>
      <c r="V142" s="655">
        <v>2021</v>
      </c>
      <c r="W142" s="659"/>
      <c r="X142" s="660">
        <f t="shared" si="8"/>
        <v>11.458273608164671</v>
      </c>
      <c r="Y142" s="661" t="str">
        <f t="shared" si="6"/>
        <v/>
      </c>
      <c r="Z142" s="661" t="str">
        <f t="shared" si="7"/>
        <v/>
      </c>
    </row>
    <row r="143" spans="1:26" s="128" customFormat="1">
      <c r="A143" s="655">
        <v>1678</v>
      </c>
      <c r="B143" s="656" t="s">
        <v>33</v>
      </c>
      <c r="C143" s="655" t="s">
        <v>2793</v>
      </c>
      <c r="D143" s="656" t="s">
        <v>13</v>
      </c>
      <c r="E143" s="656" t="s">
        <v>1043</v>
      </c>
      <c r="F143" s="655">
        <v>14605</v>
      </c>
      <c r="G143" s="656" t="s">
        <v>81</v>
      </c>
      <c r="H143" s="656" t="s">
        <v>1183</v>
      </c>
      <c r="I143" s="656" t="s">
        <v>58</v>
      </c>
      <c r="J143" s="655">
        <v>22</v>
      </c>
      <c r="K143" s="655">
        <v>1</v>
      </c>
      <c r="L143" s="656" t="s">
        <v>34</v>
      </c>
      <c r="M143" s="656" t="s">
        <v>50</v>
      </c>
      <c r="N143" s="656" t="s">
        <v>46</v>
      </c>
      <c r="O143" s="656" t="s">
        <v>46</v>
      </c>
      <c r="P143" s="656" t="s">
        <v>47</v>
      </c>
      <c r="Q143" s="657">
        <v>1536</v>
      </c>
      <c r="R143" s="657">
        <v>1536</v>
      </c>
      <c r="S143" s="657">
        <v>8948</v>
      </c>
      <c r="T143" s="657">
        <v>8948</v>
      </c>
      <c r="U143" s="657">
        <v>709.673</v>
      </c>
      <c r="V143" s="655">
        <v>2021</v>
      </c>
      <c r="W143" s="659"/>
      <c r="X143" s="660">
        <f t="shared" si="8"/>
        <v>12.608623971885644</v>
      </c>
      <c r="Y143" s="661" t="str">
        <f t="shared" si="6"/>
        <v/>
      </c>
      <c r="Z143" s="661" t="str">
        <f t="shared" si="7"/>
        <v/>
      </c>
    </row>
    <row r="144" spans="1:26" s="128" customFormat="1">
      <c r="A144" s="655">
        <v>1678</v>
      </c>
      <c r="B144" s="656" t="s">
        <v>33</v>
      </c>
      <c r="C144" s="655" t="s">
        <v>2793</v>
      </c>
      <c r="D144" s="656" t="s">
        <v>13</v>
      </c>
      <c r="E144" s="656" t="s">
        <v>1043</v>
      </c>
      <c r="F144" s="655">
        <v>14605</v>
      </c>
      <c r="G144" s="656" t="s">
        <v>81</v>
      </c>
      <c r="H144" s="656" t="s">
        <v>1183</v>
      </c>
      <c r="I144" s="656" t="s">
        <v>58</v>
      </c>
      <c r="J144" s="655">
        <v>22</v>
      </c>
      <c r="K144" s="655">
        <v>1</v>
      </c>
      <c r="L144" s="656" t="s">
        <v>34</v>
      </c>
      <c r="M144" s="656" t="s">
        <v>50</v>
      </c>
      <c r="N144" s="656" t="s">
        <v>39</v>
      </c>
      <c r="O144" s="656" t="s">
        <v>39</v>
      </c>
      <c r="P144" s="656" t="s">
        <v>1037</v>
      </c>
      <c r="Q144" s="657">
        <v>29551</v>
      </c>
      <c r="R144" s="657">
        <v>29551</v>
      </c>
      <c r="S144" s="657">
        <v>30437</v>
      </c>
      <c r="T144" s="657">
        <v>30437</v>
      </c>
      <c r="U144" s="657">
        <v>2414.3249999999998</v>
      </c>
      <c r="V144" s="655">
        <v>2021</v>
      </c>
      <c r="W144" s="659"/>
      <c r="X144" s="660">
        <f t="shared" si="8"/>
        <v>12.606836279291315</v>
      </c>
      <c r="Y144" s="661" t="str">
        <f t="shared" si="6"/>
        <v/>
      </c>
      <c r="Z144" s="661" t="str">
        <f t="shared" si="7"/>
        <v/>
      </c>
    </row>
    <row r="145" spans="1:26" s="128" customFormat="1" ht="25">
      <c r="A145" s="655">
        <v>1682</v>
      </c>
      <c r="B145" s="656" t="s">
        <v>33</v>
      </c>
      <c r="C145" s="655" t="s">
        <v>2793</v>
      </c>
      <c r="D145" s="656" t="s">
        <v>2798</v>
      </c>
      <c r="E145" s="656" t="s">
        <v>15</v>
      </c>
      <c r="F145" s="655">
        <v>18488</v>
      </c>
      <c r="G145" s="656" t="s">
        <v>81</v>
      </c>
      <c r="H145" s="656" t="s">
        <v>1183</v>
      </c>
      <c r="I145" s="656" t="s">
        <v>58</v>
      </c>
      <c r="J145" s="655">
        <v>22</v>
      </c>
      <c r="K145" s="655">
        <v>1</v>
      </c>
      <c r="L145" s="656" t="s">
        <v>34</v>
      </c>
      <c r="M145" s="656" t="s">
        <v>1890</v>
      </c>
      <c r="N145" s="656" t="s">
        <v>1052</v>
      </c>
      <c r="O145" s="656" t="s">
        <v>82</v>
      </c>
      <c r="P145" s="656" t="s">
        <v>2794</v>
      </c>
      <c r="Q145" s="657">
        <v>460</v>
      </c>
      <c r="R145" s="657">
        <v>460</v>
      </c>
      <c r="S145" s="657">
        <v>0</v>
      </c>
      <c r="T145" s="657">
        <v>0</v>
      </c>
      <c r="U145" s="657">
        <v>-129</v>
      </c>
      <c r="V145" s="655">
        <v>2021</v>
      </c>
      <c r="W145" s="659"/>
      <c r="X145" s="660" t="str">
        <f t="shared" si="8"/>
        <v/>
      </c>
      <c r="Y145" s="661" t="str">
        <f t="shared" si="6"/>
        <v/>
      </c>
      <c r="Z145" s="661" t="str">
        <f t="shared" si="7"/>
        <v/>
      </c>
    </row>
    <row r="146" spans="1:26" s="128" customFormat="1">
      <c r="A146" s="655">
        <v>1682</v>
      </c>
      <c r="B146" s="656" t="s">
        <v>33</v>
      </c>
      <c r="C146" s="655" t="s">
        <v>2793</v>
      </c>
      <c r="D146" s="656" t="s">
        <v>2798</v>
      </c>
      <c r="E146" s="656" t="s">
        <v>15</v>
      </c>
      <c r="F146" s="655">
        <v>18488</v>
      </c>
      <c r="G146" s="656" t="s">
        <v>81</v>
      </c>
      <c r="H146" s="656" t="s">
        <v>1183</v>
      </c>
      <c r="I146" s="656" t="s">
        <v>58</v>
      </c>
      <c r="J146" s="655">
        <v>22</v>
      </c>
      <c r="K146" s="655">
        <v>1</v>
      </c>
      <c r="L146" s="656" t="s">
        <v>34</v>
      </c>
      <c r="M146" s="656" t="s">
        <v>38</v>
      </c>
      <c r="N146" s="656" t="s">
        <v>46</v>
      </c>
      <c r="O146" s="656" t="s">
        <v>46</v>
      </c>
      <c r="P146" s="656" t="s">
        <v>47</v>
      </c>
      <c r="Q146" s="657">
        <v>340</v>
      </c>
      <c r="R146" s="657">
        <v>340</v>
      </c>
      <c r="S146" s="657">
        <v>1959</v>
      </c>
      <c r="T146" s="657">
        <v>1959</v>
      </c>
      <c r="U146" s="657">
        <v>185.166</v>
      </c>
      <c r="V146" s="655">
        <v>2021</v>
      </c>
      <c r="W146" s="659" t="s">
        <v>3675</v>
      </c>
      <c r="X146" s="660">
        <f t="shared" si="8"/>
        <v>10.579696056511455</v>
      </c>
      <c r="Y146" s="661" t="str">
        <f t="shared" si="6"/>
        <v/>
      </c>
      <c r="Z146" s="661" t="str">
        <f t="shared" si="7"/>
        <v/>
      </c>
    </row>
    <row r="147" spans="1:26" s="128" customFormat="1">
      <c r="A147" s="655">
        <v>1682</v>
      </c>
      <c r="B147" s="656" t="s">
        <v>33</v>
      </c>
      <c r="C147" s="655" t="s">
        <v>2793</v>
      </c>
      <c r="D147" s="656" t="s">
        <v>2798</v>
      </c>
      <c r="E147" s="656" t="s">
        <v>15</v>
      </c>
      <c r="F147" s="655">
        <v>18488</v>
      </c>
      <c r="G147" s="656" t="s">
        <v>81</v>
      </c>
      <c r="H147" s="656" t="s">
        <v>1183</v>
      </c>
      <c r="I147" s="656" t="s">
        <v>58</v>
      </c>
      <c r="J147" s="655">
        <v>22</v>
      </c>
      <c r="K147" s="655">
        <v>1</v>
      </c>
      <c r="L147" s="656" t="s">
        <v>34</v>
      </c>
      <c r="M147" s="656" t="s">
        <v>38</v>
      </c>
      <c r="N147" s="656" t="s">
        <v>39</v>
      </c>
      <c r="O147" s="656" t="s">
        <v>39</v>
      </c>
      <c r="P147" s="656" t="s">
        <v>1037</v>
      </c>
      <c r="Q147" s="657">
        <v>63798</v>
      </c>
      <c r="R147" s="657">
        <v>63798</v>
      </c>
      <c r="S147" s="657">
        <v>65542</v>
      </c>
      <c r="T147" s="657">
        <v>65542</v>
      </c>
      <c r="U147" s="657">
        <v>7071.8339999999998</v>
      </c>
      <c r="V147" s="655">
        <v>2021</v>
      </c>
      <c r="W147" s="659" t="s">
        <v>3675</v>
      </c>
      <c r="X147" s="660">
        <f t="shared" si="8"/>
        <v>9.2680342892664047</v>
      </c>
      <c r="Y147" s="661" t="str">
        <f t="shared" si="6"/>
        <v/>
      </c>
      <c r="Z147" s="661" t="str">
        <f t="shared" si="7"/>
        <v/>
      </c>
    </row>
    <row r="148" spans="1:26" s="128" customFormat="1">
      <c r="A148" s="655">
        <v>1682</v>
      </c>
      <c r="B148" s="656" t="s">
        <v>33</v>
      </c>
      <c r="C148" s="655" t="s">
        <v>2793</v>
      </c>
      <c r="D148" s="656" t="s">
        <v>2798</v>
      </c>
      <c r="E148" s="656" t="s">
        <v>15</v>
      </c>
      <c r="F148" s="655">
        <v>18488</v>
      </c>
      <c r="G148" s="656" t="s">
        <v>81</v>
      </c>
      <c r="H148" s="656" t="s">
        <v>1183</v>
      </c>
      <c r="I148" s="656" t="s">
        <v>58</v>
      </c>
      <c r="J148" s="655">
        <v>22</v>
      </c>
      <c r="K148" s="655">
        <v>1</v>
      </c>
      <c r="L148" s="656" t="s">
        <v>34</v>
      </c>
      <c r="M148" s="656" t="s">
        <v>41</v>
      </c>
      <c r="N148" s="656" t="s">
        <v>46</v>
      </c>
      <c r="O148" s="656" t="s">
        <v>46</v>
      </c>
      <c r="P148" s="656" t="s">
        <v>47</v>
      </c>
      <c r="Q148" s="657">
        <v>174</v>
      </c>
      <c r="R148" s="657">
        <v>174</v>
      </c>
      <c r="S148" s="657">
        <v>1003</v>
      </c>
      <c r="T148" s="657">
        <v>1003</v>
      </c>
      <c r="U148" s="657">
        <v>56.268999999999998</v>
      </c>
      <c r="V148" s="655">
        <v>2021</v>
      </c>
      <c r="W148" s="659" t="s">
        <v>3675</v>
      </c>
      <c r="X148" s="660">
        <f t="shared" si="8"/>
        <v>17.82509019175745</v>
      </c>
      <c r="Y148" s="661" t="str">
        <f t="shared" si="6"/>
        <v/>
      </c>
      <c r="Z148" s="661" t="str">
        <f t="shared" si="7"/>
        <v/>
      </c>
    </row>
    <row r="149" spans="1:26" s="128" customFormat="1">
      <c r="A149" s="655">
        <v>1682</v>
      </c>
      <c r="B149" s="656" t="s">
        <v>33</v>
      </c>
      <c r="C149" s="655" t="s">
        <v>2793</v>
      </c>
      <c r="D149" s="656" t="s">
        <v>2798</v>
      </c>
      <c r="E149" s="656" t="s">
        <v>15</v>
      </c>
      <c r="F149" s="655">
        <v>18488</v>
      </c>
      <c r="G149" s="656" t="s">
        <v>81</v>
      </c>
      <c r="H149" s="656" t="s">
        <v>1183</v>
      </c>
      <c r="I149" s="656" t="s">
        <v>58</v>
      </c>
      <c r="J149" s="655">
        <v>22</v>
      </c>
      <c r="K149" s="655">
        <v>1</v>
      </c>
      <c r="L149" s="656" t="s">
        <v>34</v>
      </c>
      <c r="M149" s="656" t="s">
        <v>41</v>
      </c>
      <c r="N149" s="656" t="s">
        <v>39</v>
      </c>
      <c r="O149" s="656" t="s">
        <v>39</v>
      </c>
      <c r="P149" s="656" t="s">
        <v>1037</v>
      </c>
      <c r="Q149" s="657">
        <v>46565</v>
      </c>
      <c r="R149" s="657">
        <v>46565</v>
      </c>
      <c r="S149" s="657">
        <v>47843</v>
      </c>
      <c r="T149" s="657">
        <v>47843</v>
      </c>
      <c r="U149" s="657">
        <v>2329.7310000000002</v>
      </c>
      <c r="V149" s="655">
        <v>2021</v>
      </c>
      <c r="W149" s="659" t="s">
        <v>3675</v>
      </c>
      <c r="X149" s="660">
        <f t="shared" si="8"/>
        <v>20.535847271637795</v>
      </c>
      <c r="Y149" s="661" t="str">
        <f t="shared" si="6"/>
        <v/>
      </c>
      <c r="Z149" s="661" t="str">
        <f t="shared" si="7"/>
        <v/>
      </c>
    </row>
    <row r="150" spans="1:26" s="128" customFormat="1">
      <c r="A150" s="655">
        <v>1682</v>
      </c>
      <c r="B150" s="656" t="s">
        <v>33</v>
      </c>
      <c r="C150" s="655" t="s">
        <v>2793</v>
      </c>
      <c r="D150" s="656" t="s">
        <v>2798</v>
      </c>
      <c r="E150" s="656" t="s">
        <v>15</v>
      </c>
      <c r="F150" s="655">
        <v>18488</v>
      </c>
      <c r="G150" s="656" t="s">
        <v>81</v>
      </c>
      <c r="H150" s="656" t="s">
        <v>1183</v>
      </c>
      <c r="I150" s="656" t="s">
        <v>58</v>
      </c>
      <c r="J150" s="655">
        <v>22</v>
      </c>
      <c r="K150" s="655">
        <v>1</v>
      </c>
      <c r="L150" s="656" t="s">
        <v>34</v>
      </c>
      <c r="M150" s="656" t="s">
        <v>41</v>
      </c>
      <c r="N150" s="656" t="s">
        <v>61</v>
      </c>
      <c r="O150" s="656" t="s">
        <v>61</v>
      </c>
      <c r="P150" s="656" t="s">
        <v>47</v>
      </c>
      <c r="Q150" s="657">
        <v>0</v>
      </c>
      <c r="R150" s="657">
        <v>0</v>
      </c>
      <c r="S150" s="657">
        <v>0</v>
      </c>
      <c r="T150" s="657">
        <v>0</v>
      </c>
      <c r="U150" s="657">
        <v>0</v>
      </c>
      <c r="V150" s="655">
        <v>2021</v>
      </c>
      <c r="W150" s="659" t="s">
        <v>3675</v>
      </c>
      <c r="X150" s="660" t="str">
        <f t="shared" si="8"/>
        <v/>
      </c>
      <c r="Y150" s="661" t="str">
        <f t="shared" si="6"/>
        <v/>
      </c>
      <c r="Z150" s="661" t="str">
        <f t="shared" si="7"/>
        <v/>
      </c>
    </row>
    <row r="151" spans="1:26" s="128" customFormat="1" hidden="1">
      <c r="A151" s="655">
        <v>2349</v>
      </c>
      <c r="B151" s="656" t="s">
        <v>33</v>
      </c>
      <c r="C151" s="655" t="s">
        <v>2793</v>
      </c>
      <c r="D151" s="656" t="s">
        <v>95</v>
      </c>
      <c r="E151" s="656" t="s">
        <v>2125</v>
      </c>
      <c r="F151" s="655">
        <v>61122</v>
      </c>
      <c r="G151" s="656" t="s">
        <v>96</v>
      </c>
      <c r="H151" s="656" t="s">
        <v>1183</v>
      </c>
      <c r="I151" s="656" t="s">
        <v>58</v>
      </c>
      <c r="J151" s="655">
        <v>22</v>
      </c>
      <c r="K151" s="655">
        <v>2</v>
      </c>
      <c r="L151" s="656" t="s">
        <v>52</v>
      </c>
      <c r="M151" s="656" t="s">
        <v>35</v>
      </c>
      <c r="N151" s="656" t="s">
        <v>36</v>
      </c>
      <c r="O151" s="656" t="s">
        <v>37</v>
      </c>
      <c r="P151" s="656" t="s">
        <v>1176</v>
      </c>
      <c r="Q151" s="657">
        <v>0</v>
      </c>
      <c r="R151" s="657">
        <v>0</v>
      </c>
      <c r="S151" s="657">
        <v>2033368</v>
      </c>
      <c r="T151" s="657">
        <v>2033368</v>
      </c>
      <c r="U151" s="657">
        <v>229941</v>
      </c>
      <c r="V151" s="655">
        <v>2021</v>
      </c>
      <c r="W151" s="659"/>
      <c r="X151" s="660">
        <f t="shared" si="8"/>
        <v>8.8429988562283377</v>
      </c>
      <c r="Y151" s="661" t="str">
        <f t="shared" si="6"/>
        <v/>
      </c>
      <c r="Z151" s="661" t="str">
        <f t="shared" si="7"/>
        <v/>
      </c>
    </row>
    <row r="152" spans="1:26" s="128" customFormat="1" hidden="1">
      <c r="A152" s="655">
        <v>2351</v>
      </c>
      <c r="B152" s="656" t="s">
        <v>33</v>
      </c>
      <c r="C152" s="655" t="s">
        <v>2793</v>
      </c>
      <c r="D152" s="656" t="s">
        <v>97</v>
      </c>
      <c r="E152" s="656" t="s">
        <v>2125</v>
      </c>
      <c r="F152" s="655">
        <v>61122</v>
      </c>
      <c r="G152" s="656" t="s">
        <v>96</v>
      </c>
      <c r="H152" s="656" t="s">
        <v>1183</v>
      </c>
      <c r="I152" s="656" t="s">
        <v>58</v>
      </c>
      <c r="J152" s="655">
        <v>22</v>
      </c>
      <c r="K152" s="655">
        <v>2</v>
      </c>
      <c r="L152" s="656" t="s">
        <v>52</v>
      </c>
      <c r="M152" s="656" t="s">
        <v>35</v>
      </c>
      <c r="N152" s="656" t="s">
        <v>36</v>
      </c>
      <c r="O152" s="656" t="s">
        <v>37</v>
      </c>
      <c r="P152" s="656" t="s">
        <v>1176</v>
      </c>
      <c r="Q152" s="657">
        <v>0</v>
      </c>
      <c r="R152" s="657">
        <v>0</v>
      </c>
      <c r="S152" s="657">
        <v>1507448</v>
      </c>
      <c r="T152" s="657">
        <v>1507448</v>
      </c>
      <c r="U152" s="657">
        <v>170468</v>
      </c>
      <c r="V152" s="655">
        <v>2021</v>
      </c>
      <c r="W152" s="659"/>
      <c r="X152" s="660">
        <f t="shared" si="8"/>
        <v>8.8429969261092989</v>
      </c>
      <c r="Y152" s="661" t="str">
        <f t="shared" si="6"/>
        <v/>
      </c>
      <c r="Z152" s="661" t="str">
        <f t="shared" si="7"/>
        <v/>
      </c>
    </row>
    <row r="153" spans="1:26" s="128" customFormat="1" hidden="1">
      <c r="A153" s="655">
        <v>2352</v>
      </c>
      <c r="B153" s="656" t="s">
        <v>33</v>
      </c>
      <c r="C153" s="655" t="s">
        <v>2793</v>
      </c>
      <c r="D153" s="656" t="s">
        <v>1574</v>
      </c>
      <c r="E153" s="656" t="s">
        <v>2125</v>
      </c>
      <c r="F153" s="655">
        <v>61122</v>
      </c>
      <c r="G153" s="656" t="s">
        <v>89</v>
      </c>
      <c r="H153" s="656" t="s">
        <v>1183</v>
      </c>
      <c r="I153" s="656" t="s">
        <v>58</v>
      </c>
      <c r="J153" s="655">
        <v>22</v>
      </c>
      <c r="K153" s="655">
        <v>2</v>
      </c>
      <c r="L153" s="656" t="s">
        <v>52</v>
      </c>
      <c r="M153" s="656" t="s">
        <v>35</v>
      </c>
      <c r="N153" s="656" t="s">
        <v>36</v>
      </c>
      <c r="O153" s="656" t="s">
        <v>37</v>
      </c>
      <c r="P153" s="656" t="s">
        <v>1176</v>
      </c>
      <c r="Q153" s="657">
        <v>0</v>
      </c>
      <c r="R153" s="657">
        <v>0</v>
      </c>
      <c r="S153" s="657">
        <v>1341510</v>
      </c>
      <c r="T153" s="657">
        <v>1341510</v>
      </c>
      <c r="U153" s="657">
        <v>151703</v>
      </c>
      <c r="V153" s="655">
        <v>2021</v>
      </c>
      <c r="W153" s="659"/>
      <c r="X153" s="660">
        <f t="shared" si="8"/>
        <v>8.8430024455679845</v>
      </c>
      <c r="Y153" s="661" t="str">
        <f t="shared" si="6"/>
        <v/>
      </c>
      <c r="Z153" s="661" t="str">
        <f t="shared" si="7"/>
        <v/>
      </c>
    </row>
    <row r="154" spans="1:26" s="128" customFormat="1" hidden="1">
      <c r="A154" s="655">
        <v>2353</v>
      </c>
      <c r="B154" s="656" t="s">
        <v>33</v>
      </c>
      <c r="C154" s="655" t="s">
        <v>2793</v>
      </c>
      <c r="D154" s="656" t="s">
        <v>613</v>
      </c>
      <c r="E154" s="656" t="s">
        <v>2125</v>
      </c>
      <c r="F154" s="655">
        <v>61122</v>
      </c>
      <c r="G154" s="656" t="s">
        <v>89</v>
      </c>
      <c r="H154" s="656" t="s">
        <v>1183</v>
      </c>
      <c r="I154" s="656" t="s">
        <v>58</v>
      </c>
      <c r="J154" s="655">
        <v>22</v>
      </c>
      <c r="K154" s="655">
        <v>2</v>
      </c>
      <c r="L154" s="656" t="s">
        <v>52</v>
      </c>
      <c r="M154" s="656" t="s">
        <v>35</v>
      </c>
      <c r="N154" s="656" t="s">
        <v>36</v>
      </c>
      <c r="O154" s="656" t="s">
        <v>37</v>
      </c>
      <c r="P154" s="656" t="s">
        <v>1176</v>
      </c>
      <c r="Q154" s="657">
        <v>0</v>
      </c>
      <c r="R154" s="657">
        <v>0</v>
      </c>
      <c r="S154" s="657">
        <v>1085124</v>
      </c>
      <c r="T154" s="657">
        <v>1085124</v>
      </c>
      <c r="U154" s="657">
        <v>122710</v>
      </c>
      <c r="V154" s="655">
        <v>2021</v>
      </c>
      <c r="W154" s="659"/>
      <c r="X154" s="660">
        <f t="shared" si="8"/>
        <v>8.8429956808736048</v>
      </c>
      <c r="Y154" s="661" t="str">
        <f t="shared" si="6"/>
        <v/>
      </c>
      <c r="Z154" s="661" t="str">
        <f t="shared" si="7"/>
        <v/>
      </c>
    </row>
    <row r="155" spans="1:26" s="128" customFormat="1" ht="25" hidden="1">
      <c r="A155" s="655">
        <v>2354</v>
      </c>
      <c r="B155" s="656" t="s">
        <v>33</v>
      </c>
      <c r="C155" s="655" t="s">
        <v>2793</v>
      </c>
      <c r="D155" s="656" t="s">
        <v>98</v>
      </c>
      <c r="E155" s="656" t="s">
        <v>2313</v>
      </c>
      <c r="F155" s="655">
        <v>62775</v>
      </c>
      <c r="G155" s="656" t="s">
        <v>96</v>
      </c>
      <c r="H155" s="656" t="s">
        <v>1183</v>
      </c>
      <c r="I155" s="656" t="s">
        <v>58</v>
      </c>
      <c r="J155" s="655">
        <v>22</v>
      </c>
      <c r="K155" s="655">
        <v>2</v>
      </c>
      <c r="L155" s="656" t="s">
        <v>52</v>
      </c>
      <c r="M155" s="656" t="s">
        <v>35</v>
      </c>
      <c r="N155" s="656" t="s">
        <v>36</v>
      </c>
      <c r="O155" s="656" t="s">
        <v>37</v>
      </c>
      <c r="P155" s="656" t="s">
        <v>1176</v>
      </c>
      <c r="Q155" s="657">
        <v>0</v>
      </c>
      <c r="R155" s="657">
        <v>0</v>
      </c>
      <c r="S155" s="657">
        <v>819921</v>
      </c>
      <c r="T155" s="657">
        <v>819921</v>
      </c>
      <c r="U155" s="657">
        <v>92720</v>
      </c>
      <c r="V155" s="655">
        <v>2021</v>
      </c>
      <c r="W155" s="659"/>
      <c r="X155" s="660">
        <f t="shared" si="8"/>
        <v>8.8429788610871434</v>
      </c>
      <c r="Y155" s="661" t="str">
        <f t="shared" si="6"/>
        <v/>
      </c>
      <c r="Z155" s="661" t="str">
        <f t="shared" si="7"/>
        <v/>
      </c>
    </row>
    <row r="156" spans="1:26" s="128" customFormat="1" ht="25" hidden="1">
      <c r="A156" s="655">
        <v>2355</v>
      </c>
      <c r="B156" s="656" t="s">
        <v>33</v>
      </c>
      <c r="C156" s="655" t="s">
        <v>2793</v>
      </c>
      <c r="D156" s="656" t="s">
        <v>99</v>
      </c>
      <c r="E156" s="656" t="s">
        <v>2313</v>
      </c>
      <c r="F156" s="655">
        <v>62775</v>
      </c>
      <c r="G156" s="656" t="s">
        <v>96</v>
      </c>
      <c r="H156" s="656" t="s">
        <v>1183</v>
      </c>
      <c r="I156" s="656" t="s">
        <v>58</v>
      </c>
      <c r="J156" s="655">
        <v>22</v>
      </c>
      <c r="K156" s="655">
        <v>2</v>
      </c>
      <c r="L156" s="656" t="s">
        <v>52</v>
      </c>
      <c r="M156" s="656" t="s">
        <v>35</v>
      </c>
      <c r="N156" s="656" t="s">
        <v>36</v>
      </c>
      <c r="O156" s="656" t="s">
        <v>37</v>
      </c>
      <c r="P156" s="656" t="s">
        <v>1176</v>
      </c>
      <c r="Q156" s="657">
        <v>0</v>
      </c>
      <c r="R156" s="657">
        <v>0</v>
      </c>
      <c r="S156" s="657">
        <v>368551</v>
      </c>
      <c r="T156" s="657">
        <v>368551</v>
      </c>
      <c r="U156" s="657">
        <v>41677</v>
      </c>
      <c r="V156" s="655">
        <v>2021</v>
      </c>
      <c r="W156" s="659"/>
      <c r="X156" s="660">
        <f t="shared" si="8"/>
        <v>8.8430309283297746</v>
      </c>
      <c r="Y156" s="661" t="str">
        <f t="shared" si="6"/>
        <v/>
      </c>
      <c r="Z156" s="661" t="str">
        <f t="shared" si="7"/>
        <v/>
      </c>
    </row>
    <row r="157" spans="1:26" s="128" customFormat="1" ht="25" hidden="1">
      <c r="A157" s="655">
        <v>2356</v>
      </c>
      <c r="B157" s="656" t="s">
        <v>33</v>
      </c>
      <c r="C157" s="655" t="s">
        <v>2793</v>
      </c>
      <c r="D157" s="656" t="s">
        <v>614</v>
      </c>
      <c r="E157" s="656" t="s">
        <v>2313</v>
      </c>
      <c r="F157" s="655">
        <v>62775</v>
      </c>
      <c r="G157" s="656" t="s">
        <v>96</v>
      </c>
      <c r="H157" s="656" t="s">
        <v>1183</v>
      </c>
      <c r="I157" s="656" t="s">
        <v>58</v>
      </c>
      <c r="J157" s="655">
        <v>22</v>
      </c>
      <c r="K157" s="655">
        <v>2</v>
      </c>
      <c r="L157" s="656" t="s">
        <v>52</v>
      </c>
      <c r="M157" s="656" t="s">
        <v>35</v>
      </c>
      <c r="N157" s="656" t="s">
        <v>36</v>
      </c>
      <c r="O157" s="656" t="s">
        <v>37</v>
      </c>
      <c r="P157" s="656" t="s">
        <v>1176</v>
      </c>
      <c r="Q157" s="657">
        <v>0</v>
      </c>
      <c r="R157" s="657">
        <v>0</v>
      </c>
      <c r="S157" s="657">
        <v>221613</v>
      </c>
      <c r="T157" s="657">
        <v>221613</v>
      </c>
      <c r="U157" s="657">
        <v>25061</v>
      </c>
      <c r="V157" s="655">
        <v>2021</v>
      </c>
      <c r="W157" s="659"/>
      <c r="X157" s="660">
        <f t="shared" si="8"/>
        <v>8.8429432185467451</v>
      </c>
      <c r="Y157" s="661" t="str">
        <f t="shared" si="6"/>
        <v/>
      </c>
      <c r="Z157" s="661" t="str">
        <f t="shared" si="7"/>
        <v/>
      </c>
    </row>
    <row r="158" spans="1:26" s="128" customFormat="1" ht="25" hidden="1">
      <c r="A158" s="655">
        <v>2357</v>
      </c>
      <c r="B158" s="656" t="s">
        <v>33</v>
      </c>
      <c r="C158" s="655" t="s">
        <v>2793</v>
      </c>
      <c r="D158" s="656" t="s">
        <v>100</v>
      </c>
      <c r="E158" s="656" t="s">
        <v>2313</v>
      </c>
      <c r="F158" s="655">
        <v>62775</v>
      </c>
      <c r="G158" s="656" t="s">
        <v>96</v>
      </c>
      <c r="H158" s="656" t="s">
        <v>1183</v>
      </c>
      <c r="I158" s="656" t="s">
        <v>58</v>
      </c>
      <c r="J158" s="655">
        <v>22</v>
      </c>
      <c r="K158" s="655">
        <v>2</v>
      </c>
      <c r="L158" s="656" t="s">
        <v>52</v>
      </c>
      <c r="M158" s="656" t="s">
        <v>35</v>
      </c>
      <c r="N158" s="656" t="s">
        <v>36</v>
      </c>
      <c r="O158" s="656" t="s">
        <v>37</v>
      </c>
      <c r="P158" s="656" t="s">
        <v>1176</v>
      </c>
      <c r="Q158" s="657">
        <v>0</v>
      </c>
      <c r="R158" s="657">
        <v>0</v>
      </c>
      <c r="S158" s="657">
        <v>390498</v>
      </c>
      <c r="T158" s="657">
        <v>390498</v>
      </c>
      <c r="U158" s="657">
        <v>44159</v>
      </c>
      <c r="V158" s="655">
        <v>2021</v>
      </c>
      <c r="W158" s="659"/>
      <c r="X158" s="660">
        <f t="shared" si="8"/>
        <v>8.8429991621187067</v>
      </c>
      <c r="Y158" s="661" t="str">
        <f t="shared" si="6"/>
        <v/>
      </c>
      <c r="Z158" s="661" t="str">
        <f t="shared" si="7"/>
        <v/>
      </c>
    </row>
    <row r="159" spans="1:26" s="128" customFormat="1" ht="25" hidden="1">
      <c r="A159" s="655">
        <v>2358</v>
      </c>
      <c r="B159" s="656" t="s">
        <v>33</v>
      </c>
      <c r="C159" s="655" t="s">
        <v>2793</v>
      </c>
      <c r="D159" s="656" t="s">
        <v>615</v>
      </c>
      <c r="E159" s="656" t="s">
        <v>2313</v>
      </c>
      <c r="F159" s="655">
        <v>62775</v>
      </c>
      <c r="G159" s="656" t="s">
        <v>96</v>
      </c>
      <c r="H159" s="656" t="s">
        <v>1183</v>
      </c>
      <c r="I159" s="656" t="s">
        <v>58</v>
      </c>
      <c r="J159" s="655">
        <v>22</v>
      </c>
      <c r="K159" s="655">
        <v>2</v>
      </c>
      <c r="L159" s="656" t="s">
        <v>52</v>
      </c>
      <c r="M159" s="656" t="s">
        <v>35</v>
      </c>
      <c r="N159" s="656" t="s">
        <v>36</v>
      </c>
      <c r="O159" s="656" t="s">
        <v>37</v>
      </c>
      <c r="P159" s="656" t="s">
        <v>1176</v>
      </c>
      <c r="Q159" s="657">
        <v>0</v>
      </c>
      <c r="R159" s="657">
        <v>0</v>
      </c>
      <c r="S159" s="657">
        <v>75350</v>
      </c>
      <c r="T159" s="657">
        <v>75350</v>
      </c>
      <c r="U159" s="657">
        <v>8521</v>
      </c>
      <c r="V159" s="655">
        <v>2021</v>
      </c>
      <c r="W159" s="659"/>
      <c r="X159" s="660">
        <f t="shared" si="8"/>
        <v>8.8428588193873967</v>
      </c>
      <c r="Y159" s="661" t="str">
        <f t="shared" si="6"/>
        <v/>
      </c>
      <c r="Z159" s="661" t="str">
        <f t="shared" si="7"/>
        <v/>
      </c>
    </row>
    <row r="160" spans="1:26" s="128" customFormat="1" ht="25" hidden="1">
      <c r="A160" s="655">
        <v>2359</v>
      </c>
      <c r="B160" s="656" t="s">
        <v>33</v>
      </c>
      <c r="C160" s="655" t="s">
        <v>2793</v>
      </c>
      <c r="D160" s="656" t="s">
        <v>616</v>
      </c>
      <c r="E160" s="656" t="s">
        <v>2313</v>
      </c>
      <c r="F160" s="655">
        <v>62775</v>
      </c>
      <c r="G160" s="656" t="s">
        <v>96</v>
      </c>
      <c r="H160" s="656" t="s">
        <v>1183</v>
      </c>
      <c r="I160" s="656" t="s">
        <v>58</v>
      </c>
      <c r="J160" s="655">
        <v>22</v>
      </c>
      <c r="K160" s="655">
        <v>2</v>
      </c>
      <c r="L160" s="656" t="s">
        <v>52</v>
      </c>
      <c r="M160" s="656" t="s">
        <v>35</v>
      </c>
      <c r="N160" s="656" t="s">
        <v>36</v>
      </c>
      <c r="O160" s="656" t="s">
        <v>37</v>
      </c>
      <c r="P160" s="656" t="s">
        <v>1176</v>
      </c>
      <c r="Q160" s="657">
        <v>0</v>
      </c>
      <c r="R160" s="657">
        <v>0</v>
      </c>
      <c r="S160" s="657">
        <v>58346</v>
      </c>
      <c r="T160" s="657">
        <v>58346</v>
      </c>
      <c r="U160" s="657">
        <v>6598</v>
      </c>
      <c r="V160" s="655">
        <v>2021</v>
      </c>
      <c r="W160" s="659"/>
      <c r="X160" s="660">
        <f t="shared" si="8"/>
        <v>8.8429827220369805</v>
      </c>
      <c r="Y160" s="661" t="str">
        <f t="shared" si="6"/>
        <v/>
      </c>
      <c r="Z160" s="661" t="str">
        <f t="shared" si="7"/>
        <v/>
      </c>
    </row>
    <row r="161" spans="1:26" s="128" customFormat="1" ht="25" hidden="1">
      <c r="A161" s="655">
        <v>2360</v>
      </c>
      <c r="B161" s="656" t="s">
        <v>33</v>
      </c>
      <c r="C161" s="655" t="s">
        <v>2793</v>
      </c>
      <c r="D161" s="656" t="s">
        <v>617</v>
      </c>
      <c r="E161" s="656" t="s">
        <v>2313</v>
      </c>
      <c r="F161" s="655">
        <v>62775</v>
      </c>
      <c r="G161" s="656" t="s">
        <v>96</v>
      </c>
      <c r="H161" s="656" t="s">
        <v>1183</v>
      </c>
      <c r="I161" s="656" t="s">
        <v>58</v>
      </c>
      <c r="J161" s="655">
        <v>22</v>
      </c>
      <c r="K161" s="655">
        <v>2</v>
      </c>
      <c r="L161" s="656" t="s">
        <v>52</v>
      </c>
      <c r="M161" s="656" t="s">
        <v>35</v>
      </c>
      <c r="N161" s="656" t="s">
        <v>36</v>
      </c>
      <c r="O161" s="656" t="s">
        <v>37</v>
      </c>
      <c r="P161" s="656" t="s">
        <v>1176</v>
      </c>
      <c r="Q161" s="657">
        <v>0</v>
      </c>
      <c r="R161" s="657">
        <v>0</v>
      </c>
      <c r="S161" s="657">
        <v>116180</v>
      </c>
      <c r="T161" s="657">
        <v>116180</v>
      </c>
      <c r="U161" s="657">
        <v>13138</v>
      </c>
      <c r="V161" s="655">
        <v>2021</v>
      </c>
      <c r="W161" s="659"/>
      <c r="X161" s="660">
        <f t="shared" si="8"/>
        <v>8.8430506926472834</v>
      </c>
      <c r="Y161" s="661" t="str">
        <f t="shared" si="6"/>
        <v/>
      </c>
      <c r="Z161" s="661" t="str">
        <f t="shared" si="7"/>
        <v/>
      </c>
    </row>
    <row r="162" spans="1:26" s="128" customFormat="1" hidden="1">
      <c r="A162" s="655">
        <v>2362</v>
      </c>
      <c r="B162" s="656" t="s">
        <v>33</v>
      </c>
      <c r="C162" s="655" t="s">
        <v>2793</v>
      </c>
      <c r="D162" s="656" t="s">
        <v>618</v>
      </c>
      <c r="E162" s="656" t="s">
        <v>2314</v>
      </c>
      <c r="F162" s="655">
        <v>62032</v>
      </c>
      <c r="G162" s="656" t="s">
        <v>96</v>
      </c>
      <c r="H162" s="656" t="s">
        <v>1183</v>
      </c>
      <c r="I162" s="656" t="s">
        <v>58</v>
      </c>
      <c r="J162" s="655">
        <v>22</v>
      </c>
      <c r="K162" s="655">
        <v>2</v>
      </c>
      <c r="L162" s="656" t="s">
        <v>52</v>
      </c>
      <c r="M162" s="656" t="s">
        <v>50</v>
      </c>
      <c r="N162" s="656" t="s">
        <v>46</v>
      </c>
      <c r="O162" s="656" t="s">
        <v>46</v>
      </c>
      <c r="P162" s="656" t="s">
        <v>47</v>
      </c>
      <c r="Q162" s="657">
        <v>606</v>
      </c>
      <c r="R162" s="657">
        <v>606</v>
      </c>
      <c r="S162" s="657">
        <v>3544</v>
      </c>
      <c r="T162" s="657">
        <v>3544</v>
      </c>
      <c r="U162" s="657">
        <v>220</v>
      </c>
      <c r="V162" s="655">
        <v>2021</v>
      </c>
      <c r="W162" s="659"/>
      <c r="X162" s="660">
        <f t="shared" si="8"/>
        <v>16.109090909090909</v>
      </c>
      <c r="Y162" s="661" t="str">
        <f t="shared" si="6"/>
        <v/>
      </c>
      <c r="Z162" s="661" t="str">
        <f t="shared" si="7"/>
        <v/>
      </c>
    </row>
    <row r="163" spans="1:26" s="128" customFormat="1" hidden="1">
      <c r="A163" s="655">
        <v>2364</v>
      </c>
      <c r="B163" s="656" t="s">
        <v>33</v>
      </c>
      <c r="C163" s="655" t="s">
        <v>2793</v>
      </c>
      <c r="D163" s="656" t="s">
        <v>101</v>
      </c>
      <c r="E163" s="656" t="s">
        <v>2314</v>
      </c>
      <c r="F163" s="655">
        <v>62032</v>
      </c>
      <c r="G163" s="656" t="s">
        <v>96</v>
      </c>
      <c r="H163" s="656" t="s">
        <v>1183</v>
      </c>
      <c r="I163" s="656" t="s">
        <v>58</v>
      </c>
      <c r="J163" s="655">
        <v>22</v>
      </c>
      <c r="K163" s="655">
        <v>2</v>
      </c>
      <c r="L163" s="656" t="s">
        <v>52</v>
      </c>
      <c r="M163" s="656" t="s">
        <v>50</v>
      </c>
      <c r="N163" s="656" t="s">
        <v>66</v>
      </c>
      <c r="O163" s="656" t="s">
        <v>67</v>
      </c>
      <c r="P163" s="656" t="s">
        <v>47</v>
      </c>
      <c r="Q163" s="657">
        <v>3104</v>
      </c>
      <c r="R163" s="657">
        <v>3104</v>
      </c>
      <c r="S163" s="657">
        <v>17796</v>
      </c>
      <c r="T163" s="657">
        <v>17796</v>
      </c>
      <c r="U163" s="657">
        <v>1137</v>
      </c>
      <c r="V163" s="655">
        <v>2021</v>
      </c>
      <c r="W163" s="659" t="s">
        <v>3675</v>
      </c>
      <c r="X163" s="660">
        <f t="shared" si="8"/>
        <v>15.651715039577837</v>
      </c>
      <c r="Y163" s="661" t="str">
        <f t="shared" si="6"/>
        <v/>
      </c>
      <c r="Z163" s="661" t="str">
        <f t="shared" si="7"/>
        <v/>
      </c>
    </row>
    <row r="164" spans="1:26" s="128" customFormat="1" hidden="1">
      <c r="A164" s="655">
        <v>2364</v>
      </c>
      <c r="B164" s="656" t="s">
        <v>33</v>
      </c>
      <c r="C164" s="655" t="s">
        <v>2793</v>
      </c>
      <c r="D164" s="656" t="s">
        <v>101</v>
      </c>
      <c r="E164" s="656" t="s">
        <v>2314</v>
      </c>
      <c r="F164" s="655">
        <v>62032</v>
      </c>
      <c r="G164" s="656" t="s">
        <v>96</v>
      </c>
      <c r="H164" s="656" t="s">
        <v>1183</v>
      </c>
      <c r="I164" s="656" t="s">
        <v>58</v>
      </c>
      <c r="J164" s="655">
        <v>22</v>
      </c>
      <c r="K164" s="655">
        <v>2</v>
      </c>
      <c r="L164" s="656" t="s">
        <v>52</v>
      </c>
      <c r="M164" s="656" t="s">
        <v>42</v>
      </c>
      <c r="N164" s="656" t="s">
        <v>43</v>
      </c>
      <c r="O164" s="656" t="s">
        <v>44</v>
      </c>
      <c r="P164" s="656" t="s">
        <v>45</v>
      </c>
      <c r="Q164" s="657">
        <v>123458</v>
      </c>
      <c r="R164" s="657">
        <v>123458</v>
      </c>
      <c r="S164" s="657">
        <v>3258577</v>
      </c>
      <c r="T164" s="657">
        <v>3258577</v>
      </c>
      <c r="U164" s="657">
        <v>284163.45</v>
      </c>
      <c r="V164" s="655">
        <v>2021</v>
      </c>
      <c r="W164" s="659" t="s">
        <v>3675</v>
      </c>
      <c r="X164" s="660">
        <f t="shared" si="8"/>
        <v>11.467262943211029</v>
      </c>
      <c r="Y164" s="661" t="str">
        <f t="shared" si="6"/>
        <v/>
      </c>
      <c r="Z164" s="661" t="str">
        <f t="shared" si="7"/>
        <v/>
      </c>
    </row>
    <row r="165" spans="1:26" s="128" customFormat="1" hidden="1">
      <c r="A165" s="655">
        <v>2364</v>
      </c>
      <c r="B165" s="656" t="s">
        <v>33</v>
      </c>
      <c r="C165" s="655" t="s">
        <v>2793</v>
      </c>
      <c r="D165" s="656" t="s">
        <v>101</v>
      </c>
      <c r="E165" s="656" t="s">
        <v>2314</v>
      </c>
      <c r="F165" s="655">
        <v>62032</v>
      </c>
      <c r="G165" s="656" t="s">
        <v>96</v>
      </c>
      <c r="H165" s="656" t="s">
        <v>1183</v>
      </c>
      <c r="I165" s="656" t="s">
        <v>58</v>
      </c>
      <c r="J165" s="655">
        <v>22</v>
      </c>
      <c r="K165" s="655">
        <v>2</v>
      </c>
      <c r="L165" s="656" t="s">
        <v>52</v>
      </c>
      <c r="M165" s="656" t="s">
        <v>42</v>
      </c>
      <c r="N165" s="656" t="s">
        <v>46</v>
      </c>
      <c r="O165" s="656" t="s">
        <v>46</v>
      </c>
      <c r="P165" s="656" t="s">
        <v>47</v>
      </c>
      <c r="Q165" s="657">
        <v>511</v>
      </c>
      <c r="R165" s="657">
        <v>511</v>
      </c>
      <c r="S165" s="657">
        <v>2963</v>
      </c>
      <c r="T165" s="657">
        <v>2963</v>
      </c>
      <c r="U165" s="657">
        <v>252.55099999999999</v>
      </c>
      <c r="V165" s="655">
        <v>2021</v>
      </c>
      <c r="W165" s="659" t="s">
        <v>3675</v>
      </c>
      <c r="X165" s="660">
        <f t="shared" si="8"/>
        <v>11.732283776346165</v>
      </c>
      <c r="Y165" s="661" t="str">
        <f t="shared" si="6"/>
        <v/>
      </c>
      <c r="Z165" s="661" t="str">
        <f t="shared" si="7"/>
        <v/>
      </c>
    </row>
    <row r="166" spans="1:26" s="128" customFormat="1" hidden="1">
      <c r="A166" s="655">
        <v>2367</v>
      </c>
      <c r="B166" s="656" t="s">
        <v>33</v>
      </c>
      <c r="C166" s="655" t="s">
        <v>2793</v>
      </c>
      <c r="D166" s="656" t="s">
        <v>102</v>
      </c>
      <c r="E166" s="656" t="s">
        <v>2314</v>
      </c>
      <c r="F166" s="655">
        <v>62032</v>
      </c>
      <c r="G166" s="656" t="s">
        <v>96</v>
      </c>
      <c r="H166" s="656" t="s">
        <v>1183</v>
      </c>
      <c r="I166" s="656" t="s">
        <v>58</v>
      </c>
      <c r="J166" s="655">
        <v>22</v>
      </c>
      <c r="K166" s="655">
        <v>2</v>
      </c>
      <c r="L166" s="656" t="s">
        <v>52</v>
      </c>
      <c r="M166" s="656" t="s">
        <v>50</v>
      </c>
      <c r="N166" s="656" t="s">
        <v>66</v>
      </c>
      <c r="O166" s="656" t="s">
        <v>67</v>
      </c>
      <c r="P166" s="656" t="s">
        <v>47</v>
      </c>
      <c r="Q166" s="657">
        <v>1403</v>
      </c>
      <c r="R166" s="657">
        <v>1403</v>
      </c>
      <c r="S166" s="657">
        <v>7997</v>
      </c>
      <c r="T166" s="657">
        <v>7997</v>
      </c>
      <c r="U166" s="657">
        <v>512</v>
      </c>
      <c r="V166" s="655">
        <v>2021</v>
      </c>
      <c r="W166" s="659"/>
      <c r="X166" s="660">
        <f t="shared" si="8"/>
        <v>15.619140625</v>
      </c>
      <c r="Y166" s="661" t="str">
        <f t="shared" si="6"/>
        <v/>
      </c>
      <c r="Z166" s="661" t="str">
        <f t="shared" si="7"/>
        <v/>
      </c>
    </row>
    <row r="167" spans="1:26" s="128" customFormat="1" hidden="1">
      <c r="A167" s="655">
        <v>2367</v>
      </c>
      <c r="B167" s="656" t="s">
        <v>33</v>
      </c>
      <c r="C167" s="655" t="s">
        <v>2793</v>
      </c>
      <c r="D167" s="656" t="s">
        <v>102</v>
      </c>
      <c r="E167" s="656" t="s">
        <v>2314</v>
      </c>
      <c r="F167" s="655">
        <v>62032</v>
      </c>
      <c r="G167" s="656" t="s">
        <v>96</v>
      </c>
      <c r="H167" s="656" t="s">
        <v>1183</v>
      </c>
      <c r="I167" s="656" t="s">
        <v>58</v>
      </c>
      <c r="J167" s="655">
        <v>22</v>
      </c>
      <c r="K167" s="655">
        <v>2</v>
      </c>
      <c r="L167" s="656" t="s">
        <v>52</v>
      </c>
      <c r="M167" s="656" t="s">
        <v>50</v>
      </c>
      <c r="N167" s="656" t="s">
        <v>39</v>
      </c>
      <c r="O167" s="656" t="s">
        <v>39</v>
      </c>
      <c r="P167" s="656" t="s">
        <v>1037</v>
      </c>
      <c r="Q167" s="657">
        <v>0</v>
      </c>
      <c r="R167" s="657">
        <v>0</v>
      </c>
      <c r="S167" s="657">
        <v>0</v>
      </c>
      <c r="T167" s="657">
        <v>0</v>
      </c>
      <c r="U167" s="657">
        <v>0</v>
      </c>
      <c r="V167" s="655">
        <v>2021</v>
      </c>
      <c r="W167" s="659"/>
      <c r="X167" s="660" t="str">
        <f t="shared" si="8"/>
        <v/>
      </c>
      <c r="Y167" s="661" t="str">
        <f t="shared" si="6"/>
        <v/>
      </c>
      <c r="Z167" s="661" t="str">
        <f t="shared" si="7"/>
        <v/>
      </c>
    </row>
    <row r="168" spans="1:26" s="128" customFormat="1" hidden="1">
      <c r="A168" s="655">
        <v>2367</v>
      </c>
      <c r="B168" s="656" t="s">
        <v>33</v>
      </c>
      <c r="C168" s="655" t="s">
        <v>2793</v>
      </c>
      <c r="D168" s="656" t="s">
        <v>102</v>
      </c>
      <c r="E168" s="656" t="s">
        <v>2314</v>
      </c>
      <c r="F168" s="655">
        <v>62032</v>
      </c>
      <c r="G168" s="656" t="s">
        <v>96</v>
      </c>
      <c r="H168" s="656" t="s">
        <v>1183</v>
      </c>
      <c r="I168" s="656" t="s">
        <v>58</v>
      </c>
      <c r="J168" s="655">
        <v>22</v>
      </c>
      <c r="K168" s="655">
        <v>2</v>
      </c>
      <c r="L168" s="656" t="s">
        <v>52</v>
      </c>
      <c r="M168" s="656" t="s">
        <v>42</v>
      </c>
      <c r="N168" s="656" t="s">
        <v>43</v>
      </c>
      <c r="O168" s="656" t="s">
        <v>44</v>
      </c>
      <c r="P168" s="656" t="s">
        <v>45</v>
      </c>
      <c r="Q168" s="657">
        <v>0</v>
      </c>
      <c r="R168" s="657">
        <v>0</v>
      </c>
      <c r="S168" s="657">
        <v>0</v>
      </c>
      <c r="T168" s="657">
        <v>0</v>
      </c>
      <c r="U168" s="657">
        <v>0</v>
      </c>
      <c r="V168" s="655">
        <v>2021</v>
      </c>
      <c r="W168" s="659"/>
      <c r="X168" s="660" t="str">
        <f t="shared" si="8"/>
        <v/>
      </c>
      <c r="Y168" s="661" t="str">
        <f t="shared" si="6"/>
        <v/>
      </c>
      <c r="Z168" s="661" t="str">
        <f t="shared" si="7"/>
        <v/>
      </c>
    </row>
    <row r="169" spans="1:26" s="128" customFormat="1" hidden="1">
      <c r="A169" s="655">
        <v>2367</v>
      </c>
      <c r="B169" s="656" t="s">
        <v>33</v>
      </c>
      <c r="C169" s="655" t="s">
        <v>2793</v>
      </c>
      <c r="D169" s="656" t="s">
        <v>102</v>
      </c>
      <c r="E169" s="656" t="s">
        <v>2314</v>
      </c>
      <c r="F169" s="655">
        <v>62032</v>
      </c>
      <c r="G169" s="656" t="s">
        <v>96</v>
      </c>
      <c r="H169" s="656" t="s">
        <v>1183</v>
      </c>
      <c r="I169" s="656" t="s">
        <v>58</v>
      </c>
      <c r="J169" s="655">
        <v>22</v>
      </c>
      <c r="K169" s="655">
        <v>2</v>
      </c>
      <c r="L169" s="656" t="s">
        <v>52</v>
      </c>
      <c r="M169" s="656" t="s">
        <v>42</v>
      </c>
      <c r="N169" s="656" t="s">
        <v>46</v>
      </c>
      <c r="O169" s="656" t="s">
        <v>46</v>
      </c>
      <c r="P169" s="656" t="s">
        <v>47</v>
      </c>
      <c r="Q169" s="657">
        <v>0</v>
      </c>
      <c r="R169" s="657">
        <v>0</v>
      </c>
      <c r="S169" s="657">
        <v>0</v>
      </c>
      <c r="T169" s="657">
        <v>0</v>
      </c>
      <c r="U169" s="657">
        <v>0</v>
      </c>
      <c r="V169" s="655">
        <v>2021</v>
      </c>
      <c r="W169" s="659"/>
      <c r="X169" s="660" t="str">
        <f t="shared" si="8"/>
        <v/>
      </c>
      <c r="Y169" s="661" t="str">
        <f t="shared" si="6"/>
        <v/>
      </c>
      <c r="Z169" s="661" t="str">
        <f t="shared" si="7"/>
        <v/>
      </c>
    </row>
    <row r="170" spans="1:26" s="128" customFormat="1" hidden="1">
      <c r="A170" s="655">
        <v>2367</v>
      </c>
      <c r="B170" s="656" t="s">
        <v>33</v>
      </c>
      <c r="C170" s="655" t="s">
        <v>2793</v>
      </c>
      <c r="D170" s="656" t="s">
        <v>102</v>
      </c>
      <c r="E170" s="656" t="s">
        <v>2314</v>
      </c>
      <c r="F170" s="655">
        <v>62032</v>
      </c>
      <c r="G170" s="656" t="s">
        <v>96</v>
      </c>
      <c r="H170" s="656" t="s">
        <v>1183</v>
      </c>
      <c r="I170" s="656" t="s">
        <v>58</v>
      </c>
      <c r="J170" s="655">
        <v>22</v>
      </c>
      <c r="K170" s="655">
        <v>2</v>
      </c>
      <c r="L170" s="656" t="s">
        <v>52</v>
      </c>
      <c r="M170" s="656" t="s">
        <v>42</v>
      </c>
      <c r="N170" s="656" t="s">
        <v>39</v>
      </c>
      <c r="O170" s="656" t="s">
        <v>39</v>
      </c>
      <c r="P170" s="656" t="s">
        <v>1037</v>
      </c>
      <c r="Q170" s="657">
        <v>0</v>
      </c>
      <c r="R170" s="657">
        <v>0</v>
      </c>
      <c r="S170" s="657">
        <v>0</v>
      </c>
      <c r="T170" s="657">
        <v>0</v>
      </c>
      <c r="U170" s="657">
        <v>0</v>
      </c>
      <c r="V170" s="655">
        <v>2021</v>
      </c>
      <c r="W170" s="659"/>
      <c r="X170" s="660" t="str">
        <f t="shared" si="8"/>
        <v/>
      </c>
      <c r="Y170" s="661" t="str">
        <f t="shared" si="6"/>
        <v/>
      </c>
      <c r="Z170" s="661" t="str">
        <f t="shared" si="7"/>
        <v/>
      </c>
    </row>
    <row r="171" spans="1:26" s="128" customFormat="1" hidden="1">
      <c r="A171" s="655">
        <v>2367</v>
      </c>
      <c r="B171" s="656" t="s">
        <v>33</v>
      </c>
      <c r="C171" s="655" t="s">
        <v>2793</v>
      </c>
      <c r="D171" s="656" t="s">
        <v>102</v>
      </c>
      <c r="E171" s="656" t="s">
        <v>2314</v>
      </c>
      <c r="F171" s="655">
        <v>62032</v>
      </c>
      <c r="G171" s="656" t="s">
        <v>96</v>
      </c>
      <c r="H171" s="656" t="s">
        <v>1183</v>
      </c>
      <c r="I171" s="656" t="s">
        <v>58</v>
      </c>
      <c r="J171" s="655">
        <v>22</v>
      </c>
      <c r="K171" s="655">
        <v>2</v>
      </c>
      <c r="L171" s="656" t="s">
        <v>52</v>
      </c>
      <c r="M171" s="656" t="s">
        <v>42</v>
      </c>
      <c r="N171" s="656" t="s">
        <v>419</v>
      </c>
      <c r="O171" s="656" t="s">
        <v>49</v>
      </c>
      <c r="P171" s="656" t="s">
        <v>45</v>
      </c>
      <c r="Q171" s="657">
        <v>0</v>
      </c>
      <c r="R171" s="657">
        <v>0</v>
      </c>
      <c r="S171" s="657">
        <v>0</v>
      </c>
      <c r="T171" s="657">
        <v>0</v>
      </c>
      <c r="U171" s="657">
        <v>0</v>
      </c>
      <c r="V171" s="655">
        <v>2021</v>
      </c>
      <c r="W171" s="659"/>
      <c r="X171" s="660" t="str">
        <f t="shared" si="8"/>
        <v/>
      </c>
      <c r="Y171" s="661" t="str">
        <f t="shared" si="6"/>
        <v/>
      </c>
      <c r="Z171" s="661" t="str">
        <f t="shared" si="7"/>
        <v/>
      </c>
    </row>
    <row r="172" spans="1:26" s="128" customFormat="1" hidden="1">
      <c r="A172" s="655">
        <v>2367</v>
      </c>
      <c r="B172" s="656" t="s">
        <v>33</v>
      </c>
      <c r="C172" s="655" t="s">
        <v>2793</v>
      </c>
      <c r="D172" s="656" t="s">
        <v>102</v>
      </c>
      <c r="E172" s="656" t="s">
        <v>2314</v>
      </c>
      <c r="F172" s="655">
        <v>62032</v>
      </c>
      <c r="G172" s="656" t="s">
        <v>96</v>
      </c>
      <c r="H172" s="656" t="s">
        <v>1183</v>
      </c>
      <c r="I172" s="656" t="s">
        <v>58</v>
      </c>
      <c r="J172" s="655">
        <v>22</v>
      </c>
      <c r="K172" s="655">
        <v>2</v>
      </c>
      <c r="L172" s="656" t="s">
        <v>52</v>
      </c>
      <c r="M172" s="656" t="s">
        <v>42</v>
      </c>
      <c r="N172" s="656" t="s">
        <v>61</v>
      </c>
      <c r="O172" s="656" t="s">
        <v>61</v>
      </c>
      <c r="P172" s="656" t="s">
        <v>47</v>
      </c>
      <c r="Q172" s="657">
        <v>0</v>
      </c>
      <c r="R172" s="657">
        <v>0</v>
      </c>
      <c r="S172" s="657">
        <v>0</v>
      </c>
      <c r="T172" s="657">
        <v>0</v>
      </c>
      <c r="U172" s="657">
        <v>0</v>
      </c>
      <c r="V172" s="655">
        <v>2021</v>
      </c>
      <c r="W172" s="659"/>
      <c r="X172" s="660" t="str">
        <f t="shared" si="8"/>
        <v/>
      </c>
      <c r="Y172" s="661" t="str">
        <f t="shared" si="6"/>
        <v/>
      </c>
      <c r="Z172" s="661" t="str">
        <f t="shared" si="7"/>
        <v/>
      </c>
    </row>
    <row r="173" spans="1:26" s="128" customFormat="1" hidden="1">
      <c r="A173" s="655">
        <v>2367</v>
      </c>
      <c r="B173" s="656" t="s">
        <v>33</v>
      </c>
      <c r="C173" s="655" t="s">
        <v>2793</v>
      </c>
      <c r="D173" s="656" t="s">
        <v>102</v>
      </c>
      <c r="E173" s="656" t="s">
        <v>2314</v>
      </c>
      <c r="F173" s="655">
        <v>62032</v>
      </c>
      <c r="G173" s="656" t="s">
        <v>96</v>
      </c>
      <c r="H173" s="656" t="s">
        <v>1183</v>
      </c>
      <c r="I173" s="656" t="s">
        <v>58</v>
      </c>
      <c r="J173" s="655">
        <v>22</v>
      </c>
      <c r="K173" s="655">
        <v>2</v>
      </c>
      <c r="L173" s="656" t="s">
        <v>52</v>
      </c>
      <c r="M173" s="656" t="s">
        <v>42</v>
      </c>
      <c r="N173" s="656" t="s">
        <v>69</v>
      </c>
      <c r="O173" s="656" t="s">
        <v>70</v>
      </c>
      <c r="P173" s="656" t="s">
        <v>45</v>
      </c>
      <c r="Q173" s="657">
        <v>0</v>
      </c>
      <c r="R173" s="657">
        <v>0</v>
      </c>
      <c r="S173" s="657">
        <v>0</v>
      </c>
      <c r="T173" s="657">
        <v>0</v>
      </c>
      <c r="U173" s="657">
        <v>0</v>
      </c>
      <c r="V173" s="655">
        <v>2021</v>
      </c>
      <c r="W173" s="659"/>
      <c r="X173" s="660" t="str">
        <f t="shared" si="8"/>
        <v/>
      </c>
      <c r="Y173" s="661" t="str">
        <f t="shared" si="6"/>
        <v/>
      </c>
      <c r="Z173" s="661" t="str">
        <f t="shared" si="7"/>
        <v/>
      </c>
    </row>
    <row r="174" spans="1:26" s="128" customFormat="1" ht="25" hidden="1">
      <c r="A174" s="655">
        <v>2368</v>
      </c>
      <c r="B174" s="656" t="s">
        <v>33</v>
      </c>
      <c r="C174" s="655" t="s">
        <v>2793</v>
      </c>
      <c r="D174" s="656" t="s">
        <v>1575</v>
      </c>
      <c r="E174" s="656" t="s">
        <v>2313</v>
      </c>
      <c r="F174" s="655">
        <v>62775</v>
      </c>
      <c r="G174" s="656" t="s">
        <v>96</v>
      </c>
      <c r="H174" s="656" t="s">
        <v>1183</v>
      </c>
      <c r="I174" s="656" t="s">
        <v>58</v>
      </c>
      <c r="J174" s="655">
        <v>22</v>
      </c>
      <c r="K174" s="655">
        <v>2</v>
      </c>
      <c r="L174" s="656" t="s">
        <v>52</v>
      </c>
      <c r="M174" s="656" t="s">
        <v>35</v>
      </c>
      <c r="N174" s="656" t="s">
        <v>36</v>
      </c>
      <c r="O174" s="656" t="s">
        <v>37</v>
      </c>
      <c r="P174" s="656" t="s">
        <v>1176</v>
      </c>
      <c r="Q174" s="657">
        <v>0</v>
      </c>
      <c r="R174" s="657">
        <v>0</v>
      </c>
      <c r="S174" s="657">
        <v>591810</v>
      </c>
      <c r="T174" s="657">
        <v>591810</v>
      </c>
      <c r="U174" s="657">
        <v>66924</v>
      </c>
      <c r="V174" s="655">
        <v>2021</v>
      </c>
      <c r="W174" s="659"/>
      <c r="X174" s="660">
        <f t="shared" si="8"/>
        <v>8.8430159584005743</v>
      </c>
      <c r="Y174" s="661" t="str">
        <f t="shared" si="6"/>
        <v/>
      </c>
      <c r="Z174" s="661" t="str">
        <f t="shared" si="7"/>
        <v/>
      </c>
    </row>
    <row r="175" spans="1:26" s="128" customFormat="1" hidden="1">
      <c r="A175" s="655">
        <v>2369</v>
      </c>
      <c r="B175" s="656" t="s">
        <v>33</v>
      </c>
      <c r="C175" s="655" t="s">
        <v>2793</v>
      </c>
      <c r="D175" s="656" t="s">
        <v>619</v>
      </c>
      <c r="E175" s="656" t="s">
        <v>2314</v>
      </c>
      <c r="F175" s="655">
        <v>62032</v>
      </c>
      <c r="G175" s="656" t="s">
        <v>96</v>
      </c>
      <c r="H175" s="656" t="s">
        <v>1183</v>
      </c>
      <c r="I175" s="656" t="s">
        <v>58</v>
      </c>
      <c r="J175" s="655">
        <v>22</v>
      </c>
      <c r="K175" s="655">
        <v>2</v>
      </c>
      <c r="L175" s="656" t="s">
        <v>52</v>
      </c>
      <c r="M175" s="656" t="s">
        <v>50</v>
      </c>
      <c r="N175" s="656" t="s">
        <v>46</v>
      </c>
      <c r="O175" s="656" t="s">
        <v>46</v>
      </c>
      <c r="P175" s="656" t="s">
        <v>47</v>
      </c>
      <c r="Q175" s="657">
        <v>0</v>
      </c>
      <c r="R175" s="657">
        <v>0</v>
      </c>
      <c r="S175" s="657">
        <v>0</v>
      </c>
      <c r="T175" s="657">
        <v>0</v>
      </c>
      <c r="U175" s="657">
        <v>0</v>
      </c>
      <c r="V175" s="655">
        <v>2021</v>
      </c>
      <c r="W175" s="659"/>
      <c r="X175" s="660" t="str">
        <f t="shared" si="8"/>
        <v/>
      </c>
      <c r="Y175" s="661" t="str">
        <f t="shared" si="6"/>
        <v/>
      </c>
      <c r="Z175" s="661" t="str">
        <f t="shared" si="7"/>
        <v/>
      </c>
    </row>
    <row r="176" spans="1:26" s="128" customFormat="1" hidden="1">
      <c r="A176" s="655">
        <v>2369</v>
      </c>
      <c r="B176" s="656" t="s">
        <v>33</v>
      </c>
      <c r="C176" s="655" t="s">
        <v>2793</v>
      </c>
      <c r="D176" s="656" t="s">
        <v>619</v>
      </c>
      <c r="E176" s="656" t="s">
        <v>2314</v>
      </c>
      <c r="F176" s="655">
        <v>62032</v>
      </c>
      <c r="G176" s="656" t="s">
        <v>96</v>
      </c>
      <c r="H176" s="656" t="s">
        <v>1183</v>
      </c>
      <c r="I176" s="656" t="s">
        <v>58</v>
      </c>
      <c r="J176" s="655">
        <v>22</v>
      </c>
      <c r="K176" s="655">
        <v>2</v>
      </c>
      <c r="L176" s="656" t="s">
        <v>52</v>
      </c>
      <c r="M176" s="656" t="s">
        <v>50</v>
      </c>
      <c r="N176" s="656" t="s">
        <v>66</v>
      </c>
      <c r="O176" s="656" t="s">
        <v>67</v>
      </c>
      <c r="P176" s="656" t="s">
        <v>47</v>
      </c>
      <c r="Q176" s="657">
        <v>1997</v>
      </c>
      <c r="R176" s="657">
        <v>1997</v>
      </c>
      <c r="S176" s="657">
        <v>11483</v>
      </c>
      <c r="T176" s="657">
        <v>11483</v>
      </c>
      <c r="U176" s="657">
        <v>721</v>
      </c>
      <c r="V176" s="655">
        <v>2021</v>
      </c>
      <c r="W176" s="659"/>
      <c r="X176" s="660">
        <f t="shared" si="8"/>
        <v>15.926490984743412</v>
      </c>
      <c r="Y176" s="661" t="str">
        <f t="shared" si="6"/>
        <v/>
      </c>
      <c r="Z176" s="661" t="str">
        <f t="shared" si="7"/>
        <v/>
      </c>
    </row>
    <row r="177" spans="1:26" s="128" customFormat="1" ht="25" hidden="1">
      <c r="A177" s="655">
        <v>2480</v>
      </c>
      <c r="B177" s="656" t="s">
        <v>33</v>
      </c>
      <c r="C177" s="655" t="s">
        <v>2793</v>
      </c>
      <c r="D177" s="656" t="s">
        <v>103</v>
      </c>
      <c r="E177" s="656" t="s">
        <v>1576</v>
      </c>
      <c r="F177" s="655">
        <v>58971</v>
      </c>
      <c r="G177" s="656" t="s">
        <v>57</v>
      </c>
      <c r="H177" s="656" t="s">
        <v>1182</v>
      </c>
      <c r="I177" s="656" t="s">
        <v>58</v>
      </c>
      <c r="J177" s="655">
        <v>22</v>
      </c>
      <c r="K177" s="655">
        <v>2</v>
      </c>
      <c r="L177" s="656" t="s">
        <v>52</v>
      </c>
      <c r="M177" s="656" t="s">
        <v>51</v>
      </c>
      <c r="N177" s="656" t="s">
        <v>46</v>
      </c>
      <c r="O177" s="656" t="s">
        <v>46</v>
      </c>
      <c r="P177" s="656" t="s">
        <v>47</v>
      </c>
      <c r="Q177" s="657">
        <v>68</v>
      </c>
      <c r="R177" s="657">
        <v>68</v>
      </c>
      <c r="S177" s="657">
        <v>397</v>
      </c>
      <c r="T177" s="657">
        <v>397</v>
      </c>
      <c r="U177" s="657">
        <v>30</v>
      </c>
      <c r="V177" s="655">
        <v>2021</v>
      </c>
      <c r="W177" s="659"/>
      <c r="X177" s="660">
        <f t="shared" si="8"/>
        <v>13.233333333333333</v>
      </c>
      <c r="Y177" s="661" t="str">
        <f t="shared" si="6"/>
        <v/>
      </c>
      <c r="Z177" s="661" t="str">
        <f t="shared" si="7"/>
        <v/>
      </c>
    </row>
    <row r="178" spans="1:26" s="128" customFormat="1" ht="25" hidden="1">
      <c r="A178" s="655">
        <v>2480</v>
      </c>
      <c r="B178" s="656" t="s">
        <v>33</v>
      </c>
      <c r="C178" s="655" t="s">
        <v>2793</v>
      </c>
      <c r="D178" s="656" t="s">
        <v>103</v>
      </c>
      <c r="E178" s="656" t="s">
        <v>1576</v>
      </c>
      <c r="F178" s="655">
        <v>58971</v>
      </c>
      <c r="G178" s="656" t="s">
        <v>57</v>
      </c>
      <c r="H178" s="656" t="s">
        <v>1182</v>
      </c>
      <c r="I178" s="656" t="s">
        <v>58</v>
      </c>
      <c r="J178" s="655">
        <v>22</v>
      </c>
      <c r="K178" s="655">
        <v>2</v>
      </c>
      <c r="L178" s="656" t="s">
        <v>52</v>
      </c>
      <c r="M178" s="656" t="s">
        <v>42</v>
      </c>
      <c r="N178" s="656" t="s">
        <v>39</v>
      </c>
      <c r="O178" s="656" t="s">
        <v>39</v>
      </c>
      <c r="P178" s="656" t="s">
        <v>1037</v>
      </c>
      <c r="Q178" s="657">
        <v>151023</v>
      </c>
      <c r="R178" s="657">
        <v>151023</v>
      </c>
      <c r="S178" s="657">
        <v>154044</v>
      </c>
      <c r="T178" s="657">
        <v>154044</v>
      </c>
      <c r="U178" s="657">
        <v>12933</v>
      </c>
      <c r="V178" s="655">
        <v>2021</v>
      </c>
      <c r="W178" s="659" t="s">
        <v>3675</v>
      </c>
      <c r="X178" s="660">
        <f t="shared" si="8"/>
        <v>11.910925539318024</v>
      </c>
      <c r="Y178" s="661" t="str">
        <f t="shared" si="6"/>
        <v/>
      </c>
      <c r="Z178" s="661" t="str">
        <f t="shared" si="7"/>
        <v/>
      </c>
    </row>
    <row r="179" spans="1:26" s="128" customFormat="1" ht="25" hidden="1">
      <c r="A179" s="655">
        <v>2480</v>
      </c>
      <c r="B179" s="656" t="s">
        <v>33</v>
      </c>
      <c r="C179" s="655" t="s">
        <v>2793</v>
      </c>
      <c r="D179" s="656" t="s">
        <v>103</v>
      </c>
      <c r="E179" s="656" t="s">
        <v>1576</v>
      </c>
      <c r="F179" s="655">
        <v>58971</v>
      </c>
      <c r="G179" s="656" t="s">
        <v>57</v>
      </c>
      <c r="H179" s="656" t="s">
        <v>1182</v>
      </c>
      <c r="I179" s="656" t="s">
        <v>58</v>
      </c>
      <c r="J179" s="655">
        <v>22</v>
      </c>
      <c r="K179" s="655">
        <v>2</v>
      </c>
      <c r="L179" s="656" t="s">
        <v>52</v>
      </c>
      <c r="M179" s="656" t="s">
        <v>42</v>
      </c>
      <c r="N179" s="656" t="s">
        <v>61</v>
      </c>
      <c r="O179" s="656" t="s">
        <v>61</v>
      </c>
      <c r="P179" s="656" t="s">
        <v>47</v>
      </c>
      <c r="Q179" s="657">
        <v>0</v>
      </c>
      <c r="R179" s="657">
        <v>0</v>
      </c>
      <c r="S179" s="657">
        <v>0</v>
      </c>
      <c r="T179" s="657">
        <v>0</v>
      </c>
      <c r="U179" s="657">
        <v>0</v>
      </c>
      <c r="V179" s="655">
        <v>2021</v>
      </c>
      <c r="W179" s="659" t="s">
        <v>3675</v>
      </c>
      <c r="X179" s="660" t="str">
        <f t="shared" si="8"/>
        <v/>
      </c>
      <c r="Y179" s="661" t="str">
        <f t="shared" si="6"/>
        <v/>
      </c>
      <c r="Z179" s="661" t="str">
        <f t="shared" si="7"/>
        <v/>
      </c>
    </row>
    <row r="180" spans="1:26" s="128" customFormat="1" ht="25" hidden="1">
      <c r="A180" s="655">
        <v>2481</v>
      </c>
      <c r="B180" s="656" t="s">
        <v>33</v>
      </c>
      <c r="C180" s="655" t="s">
        <v>2793</v>
      </c>
      <c r="D180" s="656" t="s">
        <v>620</v>
      </c>
      <c r="E180" s="656" t="s">
        <v>573</v>
      </c>
      <c r="F180" s="655">
        <v>3249</v>
      </c>
      <c r="G180" s="656" t="s">
        <v>57</v>
      </c>
      <c r="H180" s="656" t="s">
        <v>1182</v>
      </c>
      <c r="I180" s="656" t="s">
        <v>58</v>
      </c>
      <c r="J180" s="655">
        <v>22</v>
      </c>
      <c r="K180" s="655">
        <v>1</v>
      </c>
      <c r="L180" s="656" t="s">
        <v>34</v>
      </c>
      <c r="M180" s="656" t="s">
        <v>35</v>
      </c>
      <c r="N180" s="656" t="s">
        <v>36</v>
      </c>
      <c r="O180" s="656" t="s">
        <v>37</v>
      </c>
      <c r="P180" s="656" t="s">
        <v>1176</v>
      </c>
      <c r="Q180" s="657">
        <v>0</v>
      </c>
      <c r="R180" s="657">
        <v>0</v>
      </c>
      <c r="S180" s="657">
        <v>166575</v>
      </c>
      <c r="T180" s="657">
        <v>166575</v>
      </c>
      <c r="U180" s="657">
        <v>18837</v>
      </c>
      <c r="V180" s="655">
        <v>2021</v>
      </c>
      <c r="W180" s="659"/>
      <c r="X180" s="660">
        <f t="shared" si="8"/>
        <v>8.8429686255773206</v>
      </c>
      <c r="Y180" s="661" t="str">
        <f t="shared" si="6"/>
        <v/>
      </c>
      <c r="Z180" s="661" t="str">
        <f t="shared" si="7"/>
        <v/>
      </c>
    </row>
    <row r="181" spans="1:26" s="128" customFormat="1" hidden="1">
      <c r="A181" s="655">
        <v>2483</v>
      </c>
      <c r="B181" s="656" t="s">
        <v>33</v>
      </c>
      <c r="C181" s="655" t="s">
        <v>2793</v>
      </c>
      <c r="D181" s="656" t="s">
        <v>621</v>
      </c>
      <c r="E181" s="656" t="s">
        <v>56</v>
      </c>
      <c r="F181" s="655">
        <v>15296</v>
      </c>
      <c r="G181" s="656" t="s">
        <v>57</v>
      </c>
      <c r="H181" s="656" t="s">
        <v>1182</v>
      </c>
      <c r="I181" s="656" t="s">
        <v>58</v>
      </c>
      <c r="J181" s="655">
        <v>22</v>
      </c>
      <c r="K181" s="655">
        <v>1</v>
      </c>
      <c r="L181" s="656" t="s">
        <v>34</v>
      </c>
      <c r="M181" s="656" t="s">
        <v>35</v>
      </c>
      <c r="N181" s="656" t="s">
        <v>36</v>
      </c>
      <c r="O181" s="656" t="s">
        <v>37</v>
      </c>
      <c r="P181" s="656" t="s">
        <v>1176</v>
      </c>
      <c r="Q181" s="657">
        <v>0</v>
      </c>
      <c r="R181" s="657">
        <v>0</v>
      </c>
      <c r="S181" s="657">
        <v>261965</v>
      </c>
      <c r="T181" s="657">
        <v>261965</v>
      </c>
      <c r="U181" s="657">
        <v>29624</v>
      </c>
      <c r="V181" s="655">
        <v>2021</v>
      </c>
      <c r="W181" s="659"/>
      <c r="X181" s="660">
        <f t="shared" si="8"/>
        <v>8.8429989197947609</v>
      </c>
      <c r="Y181" s="661" t="str">
        <f t="shared" si="6"/>
        <v/>
      </c>
      <c r="Z181" s="661" t="str">
        <f t="shared" si="7"/>
        <v/>
      </c>
    </row>
    <row r="182" spans="1:26" s="128" customFormat="1" ht="25" hidden="1">
      <c r="A182" s="655">
        <v>2485</v>
      </c>
      <c r="B182" s="656" t="s">
        <v>33</v>
      </c>
      <c r="C182" s="655" t="s">
        <v>2793</v>
      </c>
      <c r="D182" s="656" t="s">
        <v>622</v>
      </c>
      <c r="E182" s="656" t="s">
        <v>573</v>
      </c>
      <c r="F182" s="655">
        <v>3249</v>
      </c>
      <c r="G182" s="656" t="s">
        <v>57</v>
      </c>
      <c r="H182" s="656" t="s">
        <v>1182</v>
      </c>
      <c r="I182" s="656" t="s">
        <v>58</v>
      </c>
      <c r="J182" s="655">
        <v>22</v>
      </c>
      <c r="K182" s="655">
        <v>1</v>
      </c>
      <c r="L182" s="656" t="s">
        <v>34</v>
      </c>
      <c r="M182" s="656" t="s">
        <v>50</v>
      </c>
      <c r="N182" s="656" t="s">
        <v>76</v>
      </c>
      <c r="O182" s="656" t="s">
        <v>67</v>
      </c>
      <c r="P182" s="656" t="s">
        <v>47</v>
      </c>
      <c r="Q182" s="657">
        <v>772</v>
      </c>
      <c r="R182" s="657">
        <v>772</v>
      </c>
      <c r="S182" s="657">
        <v>4331</v>
      </c>
      <c r="T182" s="657">
        <v>4331</v>
      </c>
      <c r="U182" s="657">
        <v>310</v>
      </c>
      <c r="V182" s="655">
        <v>2021</v>
      </c>
      <c r="W182" s="659"/>
      <c r="X182" s="660">
        <f t="shared" si="8"/>
        <v>13.970967741935484</v>
      </c>
      <c r="Y182" s="661" t="str">
        <f t="shared" si="6"/>
        <v/>
      </c>
      <c r="Z182" s="661" t="str">
        <f t="shared" si="7"/>
        <v/>
      </c>
    </row>
    <row r="183" spans="1:26" s="128" customFormat="1" ht="25" hidden="1">
      <c r="A183" s="655">
        <v>2486</v>
      </c>
      <c r="B183" s="656" t="s">
        <v>33</v>
      </c>
      <c r="C183" s="655" t="s">
        <v>2793</v>
      </c>
      <c r="D183" s="656" t="s">
        <v>623</v>
      </c>
      <c r="E183" s="656" t="s">
        <v>573</v>
      </c>
      <c r="F183" s="655">
        <v>3249</v>
      </c>
      <c r="G183" s="656" t="s">
        <v>57</v>
      </c>
      <c r="H183" s="656" t="s">
        <v>1182</v>
      </c>
      <c r="I183" s="656" t="s">
        <v>58</v>
      </c>
      <c r="J183" s="655">
        <v>22</v>
      </c>
      <c r="K183" s="655">
        <v>1</v>
      </c>
      <c r="L183" s="656" t="s">
        <v>34</v>
      </c>
      <c r="M183" s="656" t="s">
        <v>35</v>
      </c>
      <c r="N183" s="656" t="s">
        <v>36</v>
      </c>
      <c r="O183" s="656" t="s">
        <v>37</v>
      </c>
      <c r="P183" s="656" t="s">
        <v>1176</v>
      </c>
      <c r="Q183" s="657">
        <v>0</v>
      </c>
      <c r="R183" s="657">
        <v>0</v>
      </c>
      <c r="S183" s="657">
        <v>503946</v>
      </c>
      <c r="T183" s="657">
        <v>503946</v>
      </c>
      <c r="U183" s="657">
        <v>56988</v>
      </c>
      <c r="V183" s="655">
        <v>2021</v>
      </c>
      <c r="W183" s="659"/>
      <c r="X183" s="660">
        <f t="shared" si="8"/>
        <v>8.8430195830701201</v>
      </c>
      <c r="Y183" s="661" t="str">
        <f t="shared" si="6"/>
        <v/>
      </c>
      <c r="Z183" s="661" t="str">
        <f t="shared" si="7"/>
        <v/>
      </c>
    </row>
    <row r="184" spans="1:26" s="128" customFormat="1" ht="25" hidden="1">
      <c r="A184" s="655">
        <v>2487</v>
      </c>
      <c r="B184" s="656" t="s">
        <v>33</v>
      </c>
      <c r="C184" s="655" t="s">
        <v>2793</v>
      </c>
      <c r="D184" s="656" t="s">
        <v>624</v>
      </c>
      <c r="E184" s="656" t="s">
        <v>573</v>
      </c>
      <c r="F184" s="655">
        <v>3249</v>
      </c>
      <c r="G184" s="656" t="s">
        <v>57</v>
      </c>
      <c r="H184" s="656" t="s">
        <v>1182</v>
      </c>
      <c r="I184" s="656" t="s">
        <v>58</v>
      </c>
      <c r="J184" s="655">
        <v>22</v>
      </c>
      <c r="K184" s="655">
        <v>1</v>
      </c>
      <c r="L184" s="656" t="s">
        <v>34</v>
      </c>
      <c r="M184" s="656" t="s">
        <v>50</v>
      </c>
      <c r="N184" s="656" t="s">
        <v>76</v>
      </c>
      <c r="O184" s="656" t="s">
        <v>67</v>
      </c>
      <c r="P184" s="656" t="s">
        <v>47</v>
      </c>
      <c r="Q184" s="657">
        <v>0</v>
      </c>
      <c r="R184" s="657">
        <v>0</v>
      </c>
      <c r="S184" s="657">
        <v>0</v>
      </c>
      <c r="T184" s="657">
        <v>0</v>
      </c>
      <c r="U184" s="657">
        <v>0</v>
      </c>
      <c r="V184" s="655">
        <v>2021</v>
      </c>
      <c r="W184" s="659"/>
      <c r="X184" s="660" t="str">
        <f t="shared" si="8"/>
        <v/>
      </c>
      <c r="Y184" s="661" t="str">
        <f t="shared" si="6"/>
        <v/>
      </c>
      <c r="Z184" s="661" t="str">
        <f t="shared" si="7"/>
        <v/>
      </c>
    </row>
    <row r="185" spans="1:26" s="128" customFormat="1" ht="25" hidden="1">
      <c r="A185" s="655">
        <v>2487</v>
      </c>
      <c r="B185" s="656" t="s">
        <v>33</v>
      </c>
      <c r="C185" s="655" t="s">
        <v>2793</v>
      </c>
      <c r="D185" s="656" t="s">
        <v>624</v>
      </c>
      <c r="E185" s="656" t="s">
        <v>573</v>
      </c>
      <c r="F185" s="655">
        <v>3249</v>
      </c>
      <c r="G185" s="656" t="s">
        <v>57</v>
      </c>
      <c r="H185" s="656" t="s">
        <v>1182</v>
      </c>
      <c r="I185" s="656" t="s">
        <v>58</v>
      </c>
      <c r="J185" s="655">
        <v>22</v>
      </c>
      <c r="K185" s="655">
        <v>1</v>
      </c>
      <c r="L185" s="656" t="s">
        <v>34</v>
      </c>
      <c r="M185" s="656" t="s">
        <v>50</v>
      </c>
      <c r="N185" s="656" t="s">
        <v>39</v>
      </c>
      <c r="O185" s="656" t="s">
        <v>39</v>
      </c>
      <c r="P185" s="656" t="s">
        <v>1037</v>
      </c>
      <c r="Q185" s="657">
        <v>9530</v>
      </c>
      <c r="R185" s="657">
        <v>9530</v>
      </c>
      <c r="S185" s="657">
        <v>9901</v>
      </c>
      <c r="T185" s="657">
        <v>9901</v>
      </c>
      <c r="U185" s="657">
        <v>792</v>
      </c>
      <c r="V185" s="655">
        <v>2021</v>
      </c>
      <c r="W185" s="659"/>
      <c r="X185" s="660">
        <f t="shared" si="8"/>
        <v>12.501262626262626</v>
      </c>
      <c r="Y185" s="661" t="str">
        <f t="shared" si="6"/>
        <v/>
      </c>
      <c r="Z185" s="661" t="str">
        <f t="shared" si="7"/>
        <v/>
      </c>
    </row>
    <row r="186" spans="1:26" s="128" customFormat="1" ht="25" hidden="1">
      <c r="A186" s="655">
        <v>2490</v>
      </c>
      <c r="B186" s="656" t="s">
        <v>33</v>
      </c>
      <c r="C186" s="655" t="s">
        <v>2793</v>
      </c>
      <c r="D186" s="656" t="s">
        <v>104</v>
      </c>
      <c r="E186" s="656" t="s">
        <v>105</v>
      </c>
      <c r="F186" s="655">
        <v>13192</v>
      </c>
      <c r="G186" s="656" t="s">
        <v>57</v>
      </c>
      <c r="H186" s="656" t="s">
        <v>1182</v>
      </c>
      <c r="I186" s="656" t="s">
        <v>58</v>
      </c>
      <c r="J186" s="655">
        <v>22</v>
      </c>
      <c r="K186" s="655">
        <v>2</v>
      </c>
      <c r="L186" s="656" t="s">
        <v>52</v>
      </c>
      <c r="M186" s="656" t="s">
        <v>50</v>
      </c>
      <c r="N186" s="656" t="s">
        <v>39</v>
      </c>
      <c r="O186" s="656" t="s">
        <v>39</v>
      </c>
      <c r="P186" s="656" t="s">
        <v>1037</v>
      </c>
      <c r="Q186" s="657">
        <v>13308</v>
      </c>
      <c r="R186" s="657">
        <v>13308</v>
      </c>
      <c r="S186" s="657">
        <v>13717</v>
      </c>
      <c r="T186" s="657">
        <v>13717</v>
      </c>
      <c r="U186" s="657">
        <v>705</v>
      </c>
      <c r="V186" s="655">
        <v>2021</v>
      </c>
      <c r="W186" s="659" t="s">
        <v>3675</v>
      </c>
      <c r="X186" s="660">
        <f t="shared" si="8"/>
        <v>19.456737588652484</v>
      </c>
      <c r="Y186" s="661" t="str">
        <f t="shared" si="6"/>
        <v/>
      </c>
      <c r="Z186" s="661" t="str">
        <f t="shared" si="7"/>
        <v/>
      </c>
    </row>
    <row r="187" spans="1:26" s="128" customFormat="1" ht="25" hidden="1">
      <c r="A187" s="655">
        <v>2490</v>
      </c>
      <c r="B187" s="656" t="s">
        <v>33</v>
      </c>
      <c r="C187" s="655" t="s">
        <v>2793</v>
      </c>
      <c r="D187" s="656" t="s">
        <v>104</v>
      </c>
      <c r="E187" s="656" t="s">
        <v>105</v>
      </c>
      <c r="F187" s="655">
        <v>13192</v>
      </c>
      <c r="G187" s="656" t="s">
        <v>57</v>
      </c>
      <c r="H187" s="656" t="s">
        <v>1182</v>
      </c>
      <c r="I187" s="656" t="s">
        <v>58</v>
      </c>
      <c r="J187" s="655">
        <v>22</v>
      </c>
      <c r="K187" s="655">
        <v>2</v>
      </c>
      <c r="L187" s="656" t="s">
        <v>52</v>
      </c>
      <c r="M187" s="656" t="s">
        <v>42</v>
      </c>
      <c r="N187" s="656" t="s">
        <v>39</v>
      </c>
      <c r="O187" s="656" t="s">
        <v>39</v>
      </c>
      <c r="P187" s="656" t="s">
        <v>1037</v>
      </c>
      <c r="Q187" s="657">
        <v>9387966</v>
      </c>
      <c r="R187" s="657">
        <v>9387966</v>
      </c>
      <c r="S187" s="657">
        <v>9788279</v>
      </c>
      <c r="T187" s="657">
        <v>9788279</v>
      </c>
      <c r="U187" s="657">
        <v>874771</v>
      </c>
      <c r="V187" s="655">
        <v>2021</v>
      </c>
      <c r="W187" s="659" t="s">
        <v>3675</v>
      </c>
      <c r="X187" s="660">
        <f t="shared" si="8"/>
        <v>11.189533032073538</v>
      </c>
      <c r="Y187" s="661" t="str">
        <f t="shared" si="6"/>
        <v/>
      </c>
      <c r="Z187" s="661" t="str">
        <f t="shared" si="7"/>
        <v/>
      </c>
    </row>
    <row r="188" spans="1:26" s="128" customFormat="1" ht="25" hidden="1">
      <c r="A188" s="655">
        <v>2493</v>
      </c>
      <c r="B188" s="656" t="s">
        <v>54</v>
      </c>
      <c r="C188" s="655" t="s">
        <v>2793</v>
      </c>
      <c r="D188" s="656" t="s">
        <v>106</v>
      </c>
      <c r="E188" s="656" t="s">
        <v>107</v>
      </c>
      <c r="F188" s="655">
        <v>4226</v>
      </c>
      <c r="G188" s="656" t="s">
        <v>57</v>
      </c>
      <c r="H188" s="656" t="s">
        <v>1182</v>
      </c>
      <c r="I188" s="656" t="s">
        <v>58</v>
      </c>
      <c r="J188" s="655">
        <v>22</v>
      </c>
      <c r="K188" s="655">
        <v>1</v>
      </c>
      <c r="L188" s="656" t="s">
        <v>34</v>
      </c>
      <c r="M188" s="656" t="s">
        <v>50</v>
      </c>
      <c r="N188" s="656" t="s">
        <v>46</v>
      </c>
      <c r="O188" s="656" t="s">
        <v>46</v>
      </c>
      <c r="P188" s="656" t="s">
        <v>47</v>
      </c>
      <c r="Q188" s="657">
        <v>0</v>
      </c>
      <c r="R188" s="657">
        <v>0</v>
      </c>
      <c r="S188" s="657">
        <v>0</v>
      </c>
      <c r="T188" s="657">
        <v>0</v>
      </c>
      <c r="U188" s="657">
        <v>0</v>
      </c>
      <c r="V188" s="655">
        <v>2021</v>
      </c>
      <c r="W188" s="659"/>
      <c r="X188" s="660" t="str">
        <f t="shared" si="8"/>
        <v/>
      </c>
      <c r="Y188" s="661" t="str">
        <f t="shared" si="6"/>
        <v/>
      </c>
      <c r="Z188" s="661" t="str">
        <f t="shared" si="7"/>
        <v/>
      </c>
    </row>
    <row r="189" spans="1:26" s="128" customFormat="1" ht="25" hidden="1">
      <c r="A189" s="655">
        <v>2493</v>
      </c>
      <c r="B189" s="656" t="s">
        <v>54</v>
      </c>
      <c r="C189" s="655" t="s">
        <v>2793</v>
      </c>
      <c r="D189" s="656" t="s">
        <v>106</v>
      </c>
      <c r="E189" s="656" t="s">
        <v>107</v>
      </c>
      <c r="F189" s="655">
        <v>4226</v>
      </c>
      <c r="G189" s="656" t="s">
        <v>57</v>
      </c>
      <c r="H189" s="656" t="s">
        <v>1182</v>
      </c>
      <c r="I189" s="656" t="s">
        <v>58</v>
      </c>
      <c r="J189" s="655">
        <v>22</v>
      </c>
      <c r="K189" s="655">
        <v>1</v>
      </c>
      <c r="L189" s="656" t="s">
        <v>34</v>
      </c>
      <c r="M189" s="656" t="s">
        <v>50</v>
      </c>
      <c r="N189" s="656" t="s">
        <v>39</v>
      </c>
      <c r="O189" s="656" t="s">
        <v>39</v>
      </c>
      <c r="P189" s="656" t="s">
        <v>1037</v>
      </c>
      <c r="Q189" s="657">
        <v>25429908</v>
      </c>
      <c r="R189" s="657">
        <v>18645101</v>
      </c>
      <c r="S189" s="657">
        <v>26458027</v>
      </c>
      <c r="T189" s="657">
        <v>19399662</v>
      </c>
      <c r="U189" s="657">
        <v>2421330</v>
      </c>
      <c r="V189" s="655">
        <v>2021</v>
      </c>
      <c r="W189" s="659"/>
      <c r="X189" s="660">
        <f t="shared" si="8"/>
        <v>8.0119859746502957</v>
      </c>
      <c r="Y189" s="661" t="str">
        <f t="shared" si="6"/>
        <v/>
      </c>
      <c r="Z189" s="661" t="str">
        <f t="shared" si="7"/>
        <v/>
      </c>
    </row>
    <row r="190" spans="1:26" s="128" customFormat="1" ht="25" hidden="1">
      <c r="A190" s="655">
        <v>2493</v>
      </c>
      <c r="B190" s="656" t="s">
        <v>54</v>
      </c>
      <c r="C190" s="655" t="s">
        <v>2793</v>
      </c>
      <c r="D190" s="656" t="s">
        <v>106</v>
      </c>
      <c r="E190" s="656" t="s">
        <v>107</v>
      </c>
      <c r="F190" s="655">
        <v>4226</v>
      </c>
      <c r="G190" s="656" t="s">
        <v>57</v>
      </c>
      <c r="H190" s="656" t="s">
        <v>1182</v>
      </c>
      <c r="I190" s="656" t="s">
        <v>58</v>
      </c>
      <c r="J190" s="655">
        <v>22</v>
      </c>
      <c r="K190" s="655">
        <v>1</v>
      </c>
      <c r="L190" s="656" t="s">
        <v>34</v>
      </c>
      <c r="M190" s="656" t="s">
        <v>50</v>
      </c>
      <c r="N190" s="656" t="s">
        <v>61</v>
      </c>
      <c r="O190" s="656" t="s">
        <v>61</v>
      </c>
      <c r="P190" s="656" t="s">
        <v>47</v>
      </c>
      <c r="Q190" s="657">
        <v>0</v>
      </c>
      <c r="R190" s="657">
        <v>0</v>
      </c>
      <c r="S190" s="657">
        <v>0</v>
      </c>
      <c r="T190" s="657">
        <v>0</v>
      </c>
      <c r="U190" s="657">
        <v>0</v>
      </c>
      <c r="V190" s="655">
        <v>2021</v>
      </c>
      <c r="W190" s="659"/>
      <c r="X190" s="660" t="str">
        <f t="shared" si="8"/>
        <v/>
      </c>
      <c r="Y190" s="661" t="str">
        <f t="shared" si="6"/>
        <v/>
      </c>
      <c r="Z190" s="661" t="str">
        <f t="shared" si="7"/>
        <v/>
      </c>
    </row>
    <row r="191" spans="1:26" s="128" customFormat="1" ht="25" hidden="1">
      <c r="A191" s="655">
        <v>2493</v>
      </c>
      <c r="B191" s="656" t="s">
        <v>54</v>
      </c>
      <c r="C191" s="655" t="s">
        <v>2793</v>
      </c>
      <c r="D191" s="656" t="s">
        <v>106</v>
      </c>
      <c r="E191" s="656" t="s">
        <v>107</v>
      </c>
      <c r="F191" s="655">
        <v>4226</v>
      </c>
      <c r="G191" s="656" t="s">
        <v>57</v>
      </c>
      <c r="H191" s="656" t="s">
        <v>1182</v>
      </c>
      <c r="I191" s="656" t="s">
        <v>58</v>
      </c>
      <c r="J191" s="655">
        <v>22</v>
      </c>
      <c r="K191" s="655">
        <v>1</v>
      </c>
      <c r="L191" s="656" t="s">
        <v>34</v>
      </c>
      <c r="M191" s="656" t="s">
        <v>42</v>
      </c>
      <c r="N191" s="656" t="s">
        <v>46</v>
      </c>
      <c r="O191" s="656" t="s">
        <v>46</v>
      </c>
      <c r="P191" s="656" t="s">
        <v>47</v>
      </c>
      <c r="Q191" s="657">
        <v>3847</v>
      </c>
      <c r="R191" s="657">
        <v>2394</v>
      </c>
      <c r="S191" s="657">
        <v>23024</v>
      </c>
      <c r="T191" s="657">
        <v>14328</v>
      </c>
      <c r="U191" s="657">
        <v>1785.7829999999999</v>
      </c>
      <c r="V191" s="655">
        <v>2021</v>
      </c>
      <c r="W191" s="659"/>
      <c r="X191" s="660">
        <f t="shared" si="8"/>
        <v>8.0233712606738905</v>
      </c>
      <c r="Y191" s="661" t="str">
        <f t="shared" si="6"/>
        <v/>
      </c>
      <c r="Z191" s="661" t="str">
        <f t="shared" si="7"/>
        <v/>
      </c>
    </row>
    <row r="192" spans="1:26" s="128" customFormat="1" ht="25" hidden="1">
      <c r="A192" s="655">
        <v>2493</v>
      </c>
      <c r="B192" s="656" t="s">
        <v>54</v>
      </c>
      <c r="C192" s="655" t="s">
        <v>2793</v>
      </c>
      <c r="D192" s="656" t="s">
        <v>106</v>
      </c>
      <c r="E192" s="656" t="s">
        <v>107</v>
      </c>
      <c r="F192" s="655">
        <v>4226</v>
      </c>
      <c r="G192" s="656" t="s">
        <v>57</v>
      </c>
      <c r="H192" s="656" t="s">
        <v>1182</v>
      </c>
      <c r="I192" s="656" t="s">
        <v>58</v>
      </c>
      <c r="J192" s="655">
        <v>22</v>
      </c>
      <c r="K192" s="655">
        <v>1</v>
      </c>
      <c r="L192" s="656" t="s">
        <v>34</v>
      </c>
      <c r="M192" s="656" t="s">
        <v>42</v>
      </c>
      <c r="N192" s="656" t="s">
        <v>39</v>
      </c>
      <c r="O192" s="656" t="s">
        <v>39</v>
      </c>
      <c r="P192" s="656" t="s">
        <v>1037</v>
      </c>
      <c r="Q192" s="657">
        <v>8966249</v>
      </c>
      <c r="R192" s="657">
        <v>5912800</v>
      </c>
      <c r="S192" s="657">
        <v>9328566</v>
      </c>
      <c r="T192" s="657">
        <v>6151507</v>
      </c>
      <c r="U192" s="657">
        <v>757585.35</v>
      </c>
      <c r="V192" s="655">
        <v>2021</v>
      </c>
      <c r="W192" s="659"/>
      <c r="X192" s="660">
        <f t="shared" si="8"/>
        <v>8.1198864259980734</v>
      </c>
      <c r="Y192" s="661" t="str">
        <f t="shared" si="6"/>
        <v/>
      </c>
      <c r="Z192" s="661" t="str">
        <f t="shared" si="7"/>
        <v/>
      </c>
    </row>
    <row r="193" spans="1:26" s="128" customFormat="1" ht="25" hidden="1">
      <c r="A193" s="655">
        <v>2493</v>
      </c>
      <c r="B193" s="656" t="s">
        <v>54</v>
      </c>
      <c r="C193" s="655" t="s">
        <v>2793</v>
      </c>
      <c r="D193" s="656" t="s">
        <v>106</v>
      </c>
      <c r="E193" s="656" t="s">
        <v>107</v>
      </c>
      <c r="F193" s="655">
        <v>4226</v>
      </c>
      <c r="G193" s="656" t="s">
        <v>57</v>
      </c>
      <c r="H193" s="656" t="s">
        <v>1182</v>
      </c>
      <c r="I193" s="656" t="s">
        <v>58</v>
      </c>
      <c r="J193" s="655">
        <v>22</v>
      </c>
      <c r="K193" s="655">
        <v>1</v>
      </c>
      <c r="L193" s="656" t="s">
        <v>34</v>
      </c>
      <c r="M193" s="656" t="s">
        <v>42</v>
      </c>
      <c r="N193" s="656" t="s">
        <v>61</v>
      </c>
      <c r="O193" s="656" t="s">
        <v>61</v>
      </c>
      <c r="P193" s="656" t="s">
        <v>47</v>
      </c>
      <c r="Q193" s="657">
        <v>221</v>
      </c>
      <c r="R193" s="657">
        <v>151</v>
      </c>
      <c r="S193" s="657">
        <v>1328</v>
      </c>
      <c r="T193" s="657">
        <v>906</v>
      </c>
      <c r="U193" s="657">
        <v>108.87</v>
      </c>
      <c r="V193" s="655">
        <v>2021</v>
      </c>
      <c r="W193" s="659"/>
      <c r="X193" s="660">
        <f t="shared" si="8"/>
        <v>8.321851749793332</v>
      </c>
      <c r="Y193" s="661" t="str">
        <f t="shared" si="6"/>
        <v/>
      </c>
      <c r="Z193" s="661" t="str">
        <f t="shared" si="7"/>
        <v/>
      </c>
    </row>
    <row r="194" spans="1:26" s="128" customFormat="1" ht="25" hidden="1">
      <c r="A194" s="655">
        <v>2494</v>
      </c>
      <c r="B194" s="656" t="s">
        <v>33</v>
      </c>
      <c r="C194" s="655" t="s">
        <v>2793</v>
      </c>
      <c r="D194" s="656" t="s">
        <v>108</v>
      </c>
      <c r="E194" s="656" t="s">
        <v>109</v>
      </c>
      <c r="F194" s="655">
        <v>54863</v>
      </c>
      <c r="G194" s="656" t="s">
        <v>57</v>
      </c>
      <c r="H194" s="656" t="s">
        <v>1182</v>
      </c>
      <c r="I194" s="656" t="s">
        <v>58</v>
      </c>
      <c r="J194" s="655">
        <v>22</v>
      </c>
      <c r="K194" s="655">
        <v>2</v>
      </c>
      <c r="L194" s="656" t="s">
        <v>52</v>
      </c>
      <c r="M194" s="656" t="s">
        <v>50</v>
      </c>
      <c r="N194" s="656" t="s">
        <v>46</v>
      </c>
      <c r="O194" s="656" t="s">
        <v>46</v>
      </c>
      <c r="P194" s="656" t="s">
        <v>47</v>
      </c>
      <c r="Q194" s="657">
        <v>5330</v>
      </c>
      <c r="R194" s="657">
        <v>5330</v>
      </c>
      <c r="S194" s="657">
        <v>30759</v>
      </c>
      <c r="T194" s="657">
        <v>30759</v>
      </c>
      <c r="U194" s="657">
        <v>1771.944</v>
      </c>
      <c r="V194" s="655">
        <v>2021</v>
      </c>
      <c r="W194" s="659" t="s">
        <v>3675</v>
      </c>
      <c r="X194" s="660">
        <f t="shared" si="8"/>
        <v>17.358900732754535</v>
      </c>
      <c r="Y194" s="661" t="str">
        <f t="shared" si="6"/>
        <v/>
      </c>
      <c r="Z194" s="661" t="str">
        <f t="shared" si="7"/>
        <v/>
      </c>
    </row>
    <row r="195" spans="1:26" s="128" customFormat="1" ht="25" hidden="1">
      <c r="A195" s="655">
        <v>2494</v>
      </c>
      <c r="B195" s="656" t="s">
        <v>33</v>
      </c>
      <c r="C195" s="655" t="s">
        <v>2793</v>
      </c>
      <c r="D195" s="656" t="s">
        <v>108</v>
      </c>
      <c r="E195" s="656" t="s">
        <v>109</v>
      </c>
      <c r="F195" s="655">
        <v>54863</v>
      </c>
      <c r="G195" s="656" t="s">
        <v>57</v>
      </c>
      <c r="H195" s="656" t="s">
        <v>1182</v>
      </c>
      <c r="I195" s="656" t="s">
        <v>58</v>
      </c>
      <c r="J195" s="655">
        <v>22</v>
      </c>
      <c r="K195" s="655">
        <v>2</v>
      </c>
      <c r="L195" s="656" t="s">
        <v>52</v>
      </c>
      <c r="M195" s="656" t="s">
        <v>50</v>
      </c>
      <c r="N195" s="656" t="s">
        <v>39</v>
      </c>
      <c r="O195" s="656" t="s">
        <v>39</v>
      </c>
      <c r="P195" s="656" t="s">
        <v>1037</v>
      </c>
      <c r="Q195" s="657">
        <v>237470</v>
      </c>
      <c r="R195" s="657">
        <v>237470</v>
      </c>
      <c r="S195" s="657">
        <v>247682</v>
      </c>
      <c r="T195" s="657">
        <v>247682</v>
      </c>
      <c r="U195" s="657">
        <v>14268.056</v>
      </c>
      <c r="V195" s="655">
        <v>2021</v>
      </c>
      <c r="W195" s="659" t="s">
        <v>3675</v>
      </c>
      <c r="X195" s="660">
        <f t="shared" si="8"/>
        <v>17.359197356668631</v>
      </c>
      <c r="Y195" s="661" t="str">
        <f t="shared" si="6"/>
        <v/>
      </c>
      <c r="Z195" s="661" t="str">
        <f t="shared" si="7"/>
        <v/>
      </c>
    </row>
    <row r="196" spans="1:26" s="128" customFormat="1" ht="25" hidden="1">
      <c r="A196" s="655">
        <v>2494</v>
      </c>
      <c r="B196" s="656" t="s">
        <v>33</v>
      </c>
      <c r="C196" s="655" t="s">
        <v>2793</v>
      </c>
      <c r="D196" s="656" t="s">
        <v>108</v>
      </c>
      <c r="E196" s="656" t="s">
        <v>109</v>
      </c>
      <c r="F196" s="655">
        <v>54863</v>
      </c>
      <c r="G196" s="656" t="s">
        <v>57</v>
      </c>
      <c r="H196" s="656" t="s">
        <v>1182</v>
      </c>
      <c r="I196" s="656" t="s">
        <v>58</v>
      </c>
      <c r="J196" s="655">
        <v>22</v>
      </c>
      <c r="K196" s="655">
        <v>2</v>
      </c>
      <c r="L196" s="656" t="s">
        <v>52</v>
      </c>
      <c r="M196" s="656" t="s">
        <v>50</v>
      </c>
      <c r="N196" s="656" t="s">
        <v>61</v>
      </c>
      <c r="O196" s="656" t="s">
        <v>61</v>
      </c>
      <c r="P196" s="656" t="s">
        <v>47</v>
      </c>
      <c r="Q196" s="657">
        <v>0</v>
      </c>
      <c r="R196" s="657">
        <v>0</v>
      </c>
      <c r="S196" s="657">
        <v>0</v>
      </c>
      <c r="T196" s="657">
        <v>0</v>
      </c>
      <c r="U196" s="657">
        <v>0</v>
      </c>
      <c r="V196" s="655">
        <v>2021</v>
      </c>
      <c r="W196" s="659" t="s">
        <v>3675</v>
      </c>
      <c r="X196" s="660" t="str">
        <f t="shared" si="8"/>
        <v/>
      </c>
      <c r="Y196" s="661" t="str">
        <f t="shared" si="6"/>
        <v/>
      </c>
      <c r="Z196" s="661" t="str">
        <f t="shared" si="7"/>
        <v/>
      </c>
    </row>
    <row r="197" spans="1:26" s="128" customFormat="1" ht="25" hidden="1">
      <c r="A197" s="655">
        <v>2496</v>
      </c>
      <c r="B197" s="656" t="s">
        <v>33</v>
      </c>
      <c r="C197" s="655" t="s">
        <v>2793</v>
      </c>
      <c r="D197" s="656" t="s">
        <v>625</v>
      </c>
      <c r="E197" s="656" t="s">
        <v>107</v>
      </c>
      <c r="F197" s="655">
        <v>4226</v>
      </c>
      <c r="G197" s="656" t="s">
        <v>57</v>
      </c>
      <c r="H197" s="656" t="s">
        <v>1182</v>
      </c>
      <c r="I197" s="656" t="s">
        <v>58</v>
      </c>
      <c r="J197" s="655">
        <v>22</v>
      </c>
      <c r="K197" s="655">
        <v>1</v>
      </c>
      <c r="L197" s="656" t="s">
        <v>34</v>
      </c>
      <c r="M197" s="656" t="s">
        <v>50</v>
      </c>
      <c r="N197" s="656" t="s">
        <v>46</v>
      </c>
      <c r="O197" s="656" t="s">
        <v>46</v>
      </c>
      <c r="P197" s="656" t="s">
        <v>47</v>
      </c>
      <c r="Q197" s="657">
        <v>0</v>
      </c>
      <c r="R197" s="657">
        <v>0</v>
      </c>
      <c r="S197" s="657">
        <v>0</v>
      </c>
      <c r="T197" s="657">
        <v>0</v>
      </c>
      <c r="U197" s="657">
        <v>0</v>
      </c>
      <c r="V197" s="655">
        <v>2021</v>
      </c>
      <c r="W197" s="659" t="s">
        <v>3675</v>
      </c>
      <c r="X197" s="660" t="str">
        <f t="shared" si="8"/>
        <v/>
      </c>
      <c r="Y197" s="661" t="str">
        <f t="shared" si="6"/>
        <v/>
      </c>
      <c r="Z197" s="661" t="str">
        <f t="shared" si="7"/>
        <v/>
      </c>
    </row>
    <row r="198" spans="1:26" s="128" customFormat="1" ht="25" hidden="1">
      <c r="A198" s="655">
        <v>2496</v>
      </c>
      <c r="B198" s="656" t="s">
        <v>33</v>
      </c>
      <c r="C198" s="655" t="s">
        <v>2793</v>
      </c>
      <c r="D198" s="656" t="s">
        <v>625</v>
      </c>
      <c r="E198" s="656" t="s">
        <v>107</v>
      </c>
      <c r="F198" s="655">
        <v>4226</v>
      </c>
      <c r="G198" s="656" t="s">
        <v>57</v>
      </c>
      <c r="H198" s="656" t="s">
        <v>1182</v>
      </c>
      <c r="I198" s="656" t="s">
        <v>58</v>
      </c>
      <c r="J198" s="655">
        <v>22</v>
      </c>
      <c r="K198" s="655">
        <v>1</v>
      </c>
      <c r="L198" s="656" t="s">
        <v>34</v>
      </c>
      <c r="M198" s="656" t="s">
        <v>50</v>
      </c>
      <c r="N198" s="656" t="s">
        <v>76</v>
      </c>
      <c r="O198" s="656" t="s">
        <v>67</v>
      </c>
      <c r="P198" s="656" t="s">
        <v>47</v>
      </c>
      <c r="Q198" s="657">
        <v>1045</v>
      </c>
      <c r="R198" s="657">
        <v>1045</v>
      </c>
      <c r="S198" s="657">
        <v>6047</v>
      </c>
      <c r="T198" s="657">
        <v>6047</v>
      </c>
      <c r="U198" s="657">
        <v>282</v>
      </c>
      <c r="V198" s="655">
        <v>2021</v>
      </c>
      <c r="W198" s="659" t="s">
        <v>3675</v>
      </c>
      <c r="X198" s="660">
        <f t="shared" si="8"/>
        <v>21.443262411347519</v>
      </c>
      <c r="Y198" s="661" t="str">
        <f t="shared" si="6"/>
        <v/>
      </c>
      <c r="Z198" s="661" t="str">
        <f t="shared" si="7"/>
        <v/>
      </c>
    </row>
    <row r="199" spans="1:26" s="128" customFormat="1" ht="25" hidden="1">
      <c r="A199" s="655">
        <v>2499</v>
      </c>
      <c r="B199" s="656" t="s">
        <v>33</v>
      </c>
      <c r="C199" s="655" t="s">
        <v>2793</v>
      </c>
      <c r="D199" s="656" t="s">
        <v>110</v>
      </c>
      <c r="E199" s="656" t="s">
        <v>109</v>
      </c>
      <c r="F199" s="655">
        <v>54863</v>
      </c>
      <c r="G199" s="656" t="s">
        <v>57</v>
      </c>
      <c r="H199" s="656" t="s">
        <v>1182</v>
      </c>
      <c r="I199" s="656" t="s">
        <v>58</v>
      </c>
      <c r="J199" s="655">
        <v>22</v>
      </c>
      <c r="K199" s="655">
        <v>2</v>
      </c>
      <c r="L199" s="656" t="s">
        <v>52</v>
      </c>
      <c r="M199" s="656" t="s">
        <v>50</v>
      </c>
      <c r="N199" s="656" t="s">
        <v>46</v>
      </c>
      <c r="O199" s="656" t="s">
        <v>46</v>
      </c>
      <c r="P199" s="656" t="s">
        <v>47</v>
      </c>
      <c r="Q199" s="657">
        <v>358</v>
      </c>
      <c r="R199" s="657">
        <v>358</v>
      </c>
      <c r="S199" s="657">
        <v>2070</v>
      </c>
      <c r="T199" s="657">
        <v>2070</v>
      </c>
      <c r="U199" s="657">
        <v>119.786</v>
      </c>
      <c r="V199" s="655">
        <v>2021</v>
      </c>
      <c r="W199" s="659" t="s">
        <v>3675</v>
      </c>
      <c r="X199" s="660">
        <f t="shared" si="8"/>
        <v>17.280817457799742</v>
      </c>
      <c r="Y199" s="661" t="str">
        <f t="shared" ref="Y199:Y262" si="9">IF(AND($M199=$Y$2,$N199=$Y$3,NOT($Q199=$R199),NOT($U199=0)),IF($K199=5,$S199/($U199+(8/5)*$U199),IF($K199=7,$S199/($U199+(29/25)*$U199),"")),"")</f>
        <v/>
      </c>
      <c r="Z199" s="661" t="str">
        <f t="shared" ref="Z199:Z262" si="10">IF(AND($M199=$Y$2,$N199=$Y$4,NOT($Q199=$R199),NOT($U199=0)),IF($K199=5,$S199/($U199+(8/5)*$U199),IF($K199=7,$S199/($U199+(29/25)*$U199),"")),"")</f>
        <v/>
      </c>
    </row>
    <row r="200" spans="1:26" s="128" customFormat="1" ht="25" hidden="1">
      <c r="A200" s="655">
        <v>2499</v>
      </c>
      <c r="B200" s="656" t="s">
        <v>33</v>
      </c>
      <c r="C200" s="655" t="s">
        <v>2793</v>
      </c>
      <c r="D200" s="656" t="s">
        <v>110</v>
      </c>
      <c r="E200" s="656" t="s">
        <v>109</v>
      </c>
      <c r="F200" s="655">
        <v>54863</v>
      </c>
      <c r="G200" s="656" t="s">
        <v>57</v>
      </c>
      <c r="H200" s="656" t="s">
        <v>1182</v>
      </c>
      <c r="I200" s="656" t="s">
        <v>58</v>
      </c>
      <c r="J200" s="655">
        <v>22</v>
      </c>
      <c r="K200" s="655">
        <v>2</v>
      </c>
      <c r="L200" s="656" t="s">
        <v>52</v>
      </c>
      <c r="M200" s="656" t="s">
        <v>50</v>
      </c>
      <c r="N200" s="656" t="s">
        <v>39</v>
      </c>
      <c r="O200" s="656" t="s">
        <v>39</v>
      </c>
      <c r="P200" s="656" t="s">
        <v>1037</v>
      </c>
      <c r="Q200" s="657">
        <v>637683</v>
      </c>
      <c r="R200" s="657">
        <v>637683</v>
      </c>
      <c r="S200" s="657">
        <v>661914</v>
      </c>
      <c r="T200" s="657">
        <v>661914</v>
      </c>
      <c r="U200" s="657">
        <v>38210.216</v>
      </c>
      <c r="V200" s="655">
        <v>2021</v>
      </c>
      <c r="W200" s="659" t="s">
        <v>3675</v>
      </c>
      <c r="X200" s="660">
        <f t="shared" ref="X200:X263" si="11">IF(OR(K200&gt;3,T200=0,NOT(U200&gt;0)),"",T200/U200)</f>
        <v>17.322958865241695</v>
      </c>
      <c r="Y200" s="661" t="str">
        <f t="shared" si="9"/>
        <v/>
      </c>
      <c r="Z200" s="661" t="str">
        <f t="shared" si="10"/>
        <v/>
      </c>
    </row>
    <row r="201" spans="1:26" s="128" customFormat="1" hidden="1">
      <c r="A201" s="655">
        <v>2500</v>
      </c>
      <c r="B201" s="656" t="s">
        <v>33</v>
      </c>
      <c r="C201" s="655" t="s">
        <v>2793</v>
      </c>
      <c r="D201" s="656" t="s">
        <v>111</v>
      </c>
      <c r="E201" s="656" t="s">
        <v>2126</v>
      </c>
      <c r="F201" s="655">
        <v>61130</v>
      </c>
      <c r="G201" s="656" t="s">
        <v>57</v>
      </c>
      <c r="H201" s="656" t="s">
        <v>1182</v>
      </c>
      <c r="I201" s="656" t="s">
        <v>58</v>
      </c>
      <c r="J201" s="655">
        <v>22</v>
      </c>
      <c r="K201" s="655">
        <v>2</v>
      </c>
      <c r="L201" s="656" t="s">
        <v>52</v>
      </c>
      <c r="M201" s="656" t="s">
        <v>38</v>
      </c>
      <c r="N201" s="656" t="s">
        <v>76</v>
      </c>
      <c r="O201" s="656" t="s">
        <v>67</v>
      </c>
      <c r="P201" s="656" t="s">
        <v>47</v>
      </c>
      <c r="Q201" s="657">
        <v>0</v>
      </c>
      <c r="R201" s="657">
        <v>0</v>
      </c>
      <c r="S201" s="657">
        <v>0</v>
      </c>
      <c r="T201" s="657">
        <v>0</v>
      </c>
      <c r="U201" s="657">
        <v>0</v>
      </c>
      <c r="V201" s="655">
        <v>2021</v>
      </c>
      <c r="W201" s="659" t="s">
        <v>3675</v>
      </c>
      <c r="X201" s="660" t="str">
        <f t="shared" si="11"/>
        <v/>
      </c>
      <c r="Y201" s="661" t="str">
        <f t="shared" si="9"/>
        <v/>
      </c>
      <c r="Z201" s="661" t="str">
        <f t="shared" si="10"/>
        <v/>
      </c>
    </row>
    <row r="202" spans="1:26" s="128" customFormat="1" hidden="1">
      <c r="A202" s="655">
        <v>2500</v>
      </c>
      <c r="B202" s="656" t="s">
        <v>33</v>
      </c>
      <c r="C202" s="655" t="s">
        <v>2793</v>
      </c>
      <c r="D202" s="656" t="s">
        <v>111</v>
      </c>
      <c r="E202" s="656" t="s">
        <v>2126</v>
      </c>
      <c r="F202" s="655">
        <v>61130</v>
      </c>
      <c r="G202" s="656" t="s">
        <v>57</v>
      </c>
      <c r="H202" s="656" t="s">
        <v>1182</v>
      </c>
      <c r="I202" s="656" t="s">
        <v>58</v>
      </c>
      <c r="J202" s="655">
        <v>22</v>
      </c>
      <c r="K202" s="655">
        <v>2</v>
      </c>
      <c r="L202" s="656" t="s">
        <v>52</v>
      </c>
      <c r="M202" s="656" t="s">
        <v>38</v>
      </c>
      <c r="N202" s="656" t="s">
        <v>39</v>
      </c>
      <c r="O202" s="656" t="s">
        <v>39</v>
      </c>
      <c r="P202" s="656" t="s">
        <v>1037</v>
      </c>
      <c r="Q202" s="657">
        <v>0</v>
      </c>
      <c r="R202" s="657">
        <v>0</v>
      </c>
      <c r="S202" s="657">
        <v>0</v>
      </c>
      <c r="T202" s="657">
        <v>0</v>
      </c>
      <c r="U202" s="657">
        <v>0</v>
      </c>
      <c r="V202" s="655">
        <v>2021</v>
      </c>
      <c r="W202" s="659" t="s">
        <v>3675</v>
      </c>
      <c r="X202" s="660" t="str">
        <f t="shared" si="11"/>
        <v/>
      </c>
      <c r="Y202" s="661" t="str">
        <f t="shared" si="9"/>
        <v/>
      </c>
      <c r="Z202" s="661" t="str">
        <f t="shared" si="10"/>
        <v/>
      </c>
    </row>
    <row r="203" spans="1:26" s="128" customFormat="1" hidden="1">
      <c r="A203" s="655">
        <v>2500</v>
      </c>
      <c r="B203" s="656" t="s">
        <v>33</v>
      </c>
      <c r="C203" s="655" t="s">
        <v>2793</v>
      </c>
      <c r="D203" s="656" t="s">
        <v>111</v>
      </c>
      <c r="E203" s="656" t="s">
        <v>2126</v>
      </c>
      <c r="F203" s="655">
        <v>61130</v>
      </c>
      <c r="G203" s="656" t="s">
        <v>57</v>
      </c>
      <c r="H203" s="656" t="s">
        <v>1182</v>
      </c>
      <c r="I203" s="656" t="s">
        <v>58</v>
      </c>
      <c r="J203" s="655">
        <v>22</v>
      </c>
      <c r="K203" s="655">
        <v>2</v>
      </c>
      <c r="L203" s="656" t="s">
        <v>52</v>
      </c>
      <c r="M203" s="656" t="s">
        <v>41</v>
      </c>
      <c r="N203" s="656" t="s">
        <v>76</v>
      </c>
      <c r="O203" s="656" t="s">
        <v>67</v>
      </c>
      <c r="P203" s="656" t="s">
        <v>47</v>
      </c>
      <c r="Q203" s="657">
        <v>729</v>
      </c>
      <c r="R203" s="657">
        <v>729</v>
      </c>
      <c r="S203" s="657">
        <v>4167</v>
      </c>
      <c r="T203" s="657">
        <v>4167</v>
      </c>
      <c r="U203" s="657">
        <v>560.37</v>
      </c>
      <c r="V203" s="655">
        <v>2021</v>
      </c>
      <c r="W203" s="659" t="s">
        <v>3675</v>
      </c>
      <c r="X203" s="660">
        <f t="shared" si="11"/>
        <v>7.4361582525831142</v>
      </c>
      <c r="Y203" s="661" t="str">
        <f t="shared" si="9"/>
        <v/>
      </c>
      <c r="Z203" s="661" t="str">
        <f t="shared" si="10"/>
        <v/>
      </c>
    </row>
    <row r="204" spans="1:26" s="128" customFormat="1" hidden="1">
      <c r="A204" s="655">
        <v>2500</v>
      </c>
      <c r="B204" s="656" t="s">
        <v>33</v>
      </c>
      <c r="C204" s="655" t="s">
        <v>2793</v>
      </c>
      <c r="D204" s="656" t="s">
        <v>111</v>
      </c>
      <c r="E204" s="656" t="s">
        <v>2126</v>
      </c>
      <c r="F204" s="655">
        <v>61130</v>
      </c>
      <c r="G204" s="656" t="s">
        <v>57</v>
      </c>
      <c r="H204" s="656" t="s">
        <v>1182</v>
      </c>
      <c r="I204" s="656" t="s">
        <v>58</v>
      </c>
      <c r="J204" s="655">
        <v>22</v>
      </c>
      <c r="K204" s="655">
        <v>2</v>
      </c>
      <c r="L204" s="656" t="s">
        <v>52</v>
      </c>
      <c r="M204" s="656" t="s">
        <v>41</v>
      </c>
      <c r="N204" s="656" t="s">
        <v>39</v>
      </c>
      <c r="O204" s="656" t="s">
        <v>39</v>
      </c>
      <c r="P204" s="656" t="s">
        <v>1037</v>
      </c>
      <c r="Q204" s="657">
        <v>11316351</v>
      </c>
      <c r="R204" s="657">
        <v>11316351</v>
      </c>
      <c r="S204" s="657">
        <v>11655841</v>
      </c>
      <c r="T204" s="657">
        <v>11655841</v>
      </c>
      <c r="U204" s="657">
        <v>1591299.6</v>
      </c>
      <c r="V204" s="655">
        <v>2021</v>
      </c>
      <c r="W204" s="659" t="s">
        <v>3675</v>
      </c>
      <c r="X204" s="660">
        <f t="shared" si="11"/>
        <v>7.3247306792510969</v>
      </c>
      <c r="Y204" s="661" t="str">
        <f t="shared" si="9"/>
        <v/>
      </c>
      <c r="Z204" s="661" t="str">
        <f t="shared" si="10"/>
        <v/>
      </c>
    </row>
    <row r="205" spans="1:26" s="128" customFormat="1" hidden="1">
      <c r="A205" s="655">
        <v>2500</v>
      </c>
      <c r="B205" s="656" t="s">
        <v>33</v>
      </c>
      <c r="C205" s="655" t="s">
        <v>2793</v>
      </c>
      <c r="D205" s="656" t="s">
        <v>111</v>
      </c>
      <c r="E205" s="656" t="s">
        <v>2126</v>
      </c>
      <c r="F205" s="655">
        <v>61130</v>
      </c>
      <c r="G205" s="656" t="s">
        <v>57</v>
      </c>
      <c r="H205" s="656" t="s">
        <v>1182</v>
      </c>
      <c r="I205" s="656" t="s">
        <v>58</v>
      </c>
      <c r="J205" s="655">
        <v>22</v>
      </c>
      <c r="K205" s="655">
        <v>2</v>
      </c>
      <c r="L205" s="656" t="s">
        <v>52</v>
      </c>
      <c r="M205" s="656" t="s">
        <v>41</v>
      </c>
      <c r="N205" s="656" t="s">
        <v>61</v>
      </c>
      <c r="O205" s="656" t="s">
        <v>61</v>
      </c>
      <c r="P205" s="656" t="s">
        <v>47</v>
      </c>
      <c r="Q205" s="657">
        <v>0</v>
      </c>
      <c r="R205" s="657">
        <v>0</v>
      </c>
      <c r="S205" s="657">
        <v>0</v>
      </c>
      <c r="T205" s="657">
        <v>0</v>
      </c>
      <c r="U205" s="657">
        <v>0</v>
      </c>
      <c r="V205" s="655">
        <v>2021</v>
      </c>
      <c r="W205" s="659" t="s">
        <v>3675</v>
      </c>
      <c r="X205" s="660" t="str">
        <f t="shared" si="11"/>
        <v/>
      </c>
      <c r="Y205" s="661" t="str">
        <f t="shared" si="9"/>
        <v/>
      </c>
      <c r="Z205" s="661" t="str">
        <f t="shared" si="10"/>
        <v/>
      </c>
    </row>
    <row r="206" spans="1:26" s="128" customFormat="1" hidden="1">
      <c r="A206" s="655">
        <v>2500</v>
      </c>
      <c r="B206" s="656" t="s">
        <v>33</v>
      </c>
      <c r="C206" s="655" t="s">
        <v>2793</v>
      </c>
      <c r="D206" s="656" t="s">
        <v>111</v>
      </c>
      <c r="E206" s="656" t="s">
        <v>2126</v>
      </c>
      <c r="F206" s="655">
        <v>61130</v>
      </c>
      <c r="G206" s="656" t="s">
        <v>57</v>
      </c>
      <c r="H206" s="656" t="s">
        <v>1182</v>
      </c>
      <c r="I206" s="656" t="s">
        <v>58</v>
      </c>
      <c r="J206" s="655">
        <v>22</v>
      </c>
      <c r="K206" s="655">
        <v>2</v>
      </c>
      <c r="L206" s="656" t="s">
        <v>52</v>
      </c>
      <c r="M206" s="656" t="s">
        <v>50</v>
      </c>
      <c r="N206" s="656" t="s">
        <v>76</v>
      </c>
      <c r="O206" s="656" t="s">
        <v>67</v>
      </c>
      <c r="P206" s="656" t="s">
        <v>47</v>
      </c>
      <c r="Q206" s="657">
        <v>69</v>
      </c>
      <c r="R206" s="657">
        <v>69</v>
      </c>
      <c r="S206" s="657">
        <v>394</v>
      </c>
      <c r="T206" s="657">
        <v>394</v>
      </c>
      <c r="U206" s="657">
        <v>26.875</v>
      </c>
      <c r="V206" s="655">
        <v>2021</v>
      </c>
      <c r="W206" s="659" t="s">
        <v>3675</v>
      </c>
      <c r="X206" s="660">
        <f t="shared" si="11"/>
        <v>14.66046511627907</v>
      </c>
      <c r="Y206" s="661" t="str">
        <f t="shared" si="9"/>
        <v/>
      </c>
      <c r="Z206" s="661" t="str">
        <f t="shared" si="10"/>
        <v/>
      </c>
    </row>
    <row r="207" spans="1:26" s="128" customFormat="1" hidden="1">
      <c r="A207" s="655">
        <v>2500</v>
      </c>
      <c r="B207" s="656" t="s">
        <v>33</v>
      </c>
      <c r="C207" s="655" t="s">
        <v>2793</v>
      </c>
      <c r="D207" s="656" t="s">
        <v>111</v>
      </c>
      <c r="E207" s="656" t="s">
        <v>2126</v>
      </c>
      <c r="F207" s="655">
        <v>61130</v>
      </c>
      <c r="G207" s="656" t="s">
        <v>57</v>
      </c>
      <c r="H207" s="656" t="s">
        <v>1182</v>
      </c>
      <c r="I207" s="656" t="s">
        <v>58</v>
      </c>
      <c r="J207" s="655">
        <v>22</v>
      </c>
      <c r="K207" s="655">
        <v>2</v>
      </c>
      <c r="L207" s="656" t="s">
        <v>52</v>
      </c>
      <c r="M207" s="656" t="s">
        <v>50</v>
      </c>
      <c r="N207" s="656" t="s">
        <v>39</v>
      </c>
      <c r="O207" s="656" t="s">
        <v>39</v>
      </c>
      <c r="P207" s="656" t="s">
        <v>1037</v>
      </c>
      <c r="Q207" s="657">
        <v>22017</v>
      </c>
      <c r="R207" s="657">
        <v>22017</v>
      </c>
      <c r="S207" s="657">
        <v>22677</v>
      </c>
      <c r="T207" s="657">
        <v>22677</v>
      </c>
      <c r="U207" s="657">
        <v>1485.125</v>
      </c>
      <c r="V207" s="655">
        <v>2021</v>
      </c>
      <c r="W207" s="659" t="s">
        <v>3675</v>
      </c>
      <c r="X207" s="660">
        <f t="shared" si="11"/>
        <v>15.269421765844626</v>
      </c>
      <c r="Y207" s="661" t="str">
        <f t="shared" si="9"/>
        <v/>
      </c>
      <c r="Z207" s="661" t="str">
        <f t="shared" si="10"/>
        <v/>
      </c>
    </row>
    <row r="208" spans="1:26" s="128" customFormat="1" hidden="1">
      <c r="A208" s="655">
        <v>2500</v>
      </c>
      <c r="B208" s="656" t="s">
        <v>33</v>
      </c>
      <c r="C208" s="655" t="s">
        <v>2793</v>
      </c>
      <c r="D208" s="656" t="s">
        <v>111</v>
      </c>
      <c r="E208" s="656" t="s">
        <v>2126</v>
      </c>
      <c r="F208" s="655">
        <v>61130</v>
      </c>
      <c r="G208" s="656" t="s">
        <v>57</v>
      </c>
      <c r="H208" s="656" t="s">
        <v>1182</v>
      </c>
      <c r="I208" s="656" t="s">
        <v>58</v>
      </c>
      <c r="J208" s="655">
        <v>22</v>
      </c>
      <c r="K208" s="655">
        <v>2</v>
      </c>
      <c r="L208" s="656" t="s">
        <v>52</v>
      </c>
      <c r="M208" s="656" t="s">
        <v>42</v>
      </c>
      <c r="N208" s="656" t="s">
        <v>46</v>
      </c>
      <c r="O208" s="656" t="s">
        <v>46</v>
      </c>
      <c r="P208" s="656" t="s">
        <v>47</v>
      </c>
      <c r="Q208" s="657">
        <v>10962</v>
      </c>
      <c r="R208" s="657">
        <v>10962</v>
      </c>
      <c r="S208" s="657">
        <v>64447</v>
      </c>
      <c r="T208" s="657">
        <v>64447</v>
      </c>
      <c r="U208" s="657">
        <v>4839.5969999999998</v>
      </c>
      <c r="V208" s="655">
        <v>2021</v>
      </c>
      <c r="W208" s="659" t="s">
        <v>3675</v>
      </c>
      <c r="X208" s="660">
        <f t="shared" si="11"/>
        <v>13.316604667702704</v>
      </c>
      <c r="Y208" s="661" t="str">
        <f t="shared" si="9"/>
        <v/>
      </c>
      <c r="Z208" s="661" t="str">
        <f t="shared" si="10"/>
        <v/>
      </c>
    </row>
    <row r="209" spans="1:26" s="128" customFormat="1" hidden="1">
      <c r="A209" s="655">
        <v>2500</v>
      </c>
      <c r="B209" s="656" t="s">
        <v>33</v>
      </c>
      <c r="C209" s="655" t="s">
        <v>2793</v>
      </c>
      <c r="D209" s="656" t="s">
        <v>111</v>
      </c>
      <c r="E209" s="656" t="s">
        <v>2126</v>
      </c>
      <c r="F209" s="655">
        <v>61130</v>
      </c>
      <c r="G209" s="656" t="s">
        <v>57</v>
      </c>
      <c r="H209" s="656" t="s">
        <v>1182</v>
      </c>
      <c r="I209" s="656" t="s">
        <v>58</v>
      </c>
      <c r="J209" s="655">
        <v>22</v>
      </c>
      <c r="K209" s="655">
        <v>2</v>
      </c>
      <c r="L209" s="656" t="s">
        <v>52</v>
      </c>
      <c r="M209" s="656" t="s">
        <v>42</v>
      </c>
      <c r="N209" s="656" t="s">
        <v>39</v>
      </c>
      <c r="O209" s="656" t="s">
        <v>39</v>
      </c>
      <c r="P209" s="656" t="s">
        <v>1037</v>
      </c>
      <c r="Q209" s="657">
        <v>5380031</v>
      </c>
      <c r="R209" s="657">
        <v>5380031</v>
      </c>
      <c r="S209" s="657">
        <v>5541433</v>
      </c>
      <c r="T209" s="657">
        <v>5541433</v>
      </c>
      <c r="U209" s="657">
        <v>440009.4</v>
      </c>
      <c r="V209" s="655">
        <v>2021</v>
      </c>
      <c r="W209" s="659" t="s">
        <v>3675</v>
      </c>
      <c r="X209" s="660">
        <f t="shared" si="11"/>
        <v>12.59389685765804</v>
      </c>
      <c r="Y209" s="661" t="str">
        <f t="shared" si="9"/>
        <v/>
      </c>
      <c r="Z209" s="661" t="str">
        <f t="shared" si="10"/>
        <v/>
      </c>
    </row>
    <row r="210" spans="1:26" s="128" customFormat="1" hidden="1">
      <c r="A210" s="655">
        <v>2500</v>
      </c>
      <c r="B210" s="656" t="s">
        <v>33</v>
      </c>
      <c r="C210" s="655" t="s">
        <v>2793</v>
      </c>
      <c r="D210" s="656" t="s">
        <v>111</v>
      </c>
      <c r="E210" s="656" t="s">
        <v>2126</v>
      </c>
      <c r="F210" s="655">
        <v>61130</v>
      </c>
      <c r="G210" s="656" t="s">
        <v>57</v>
      </c>
      <c r="H210" s="656" t="s">
        <v>1182</v>
      </c>
      <c r="I210" s="656" t="s">
        <v>58</v>
      </c>
      <c r="J210" s="655">
        <v>22</v>
      </c>
      <c r="K210" s="655">
        <v>2</v>
      </c>
      <c r="L210" s="656" t="s">
        <v>52</v>
      </c>
      <c r="M210" s="656" t="s">
        <v>42</v>
      </c>
      <c r="N210" s="656" t="s">
        <v>61</v>
      </c>
      <c r="O210" s="656" t="s">
        <v>61</v>
      </c>
      <c r="P210" s="656" t="s">
        <v>47</v>
      </c>
      <c r="Q210" s="657">
        <v>0</v>
      </c>
      <c r="R210" s="657">
        <v>0</v>
      </c>
      <c r="S210" s="657">
        <v>0</v>
      </c>
      <c r="T210" s="657">
        <v>0</v>
      </c>
      <c r="U210" s="657">
        <v>0</v>
      </c>
      <c r="V210" s="655">
        <v>2021</v>
      </c>
      <c r="W210" s="659" t="s">
        <v>3675</v>
      </c>
      <c r="X210" s="660" t="str">
        <f t="shared" si="11"/>
        <v/>
      </c>
      <c r="Y210" s="661" t="str">
        <f t="shared" si="9"/>
        <v/>
      </c>
      <c r="Z210" s="661" t="str">
        <f t="shared" si="10"/>
        <v/>
      </c>
    </row>
    <row r="211" spans="1:26" s="128" customFormat="1" ht="25" hidden="1">
      <c r="A211" s="655">
        <v>2503</v>
      </c>
      <c r="B211" s="656" t="s">
        <v>33</v>
      </c>
      <c r="C211" s="655" t="s">
        <v>2793</v>
      </c>
      <c r="D211" s="656" t="s">
        <v>626</v>
      </c>
      <c r="E211" s="656" t="s">
        <v>107</v>
      </c>
      <c r="F211" s="655">
        <v>4226</v>
      </c>
      <c r="G211" s="656" t="s">
        <v>57</v>
      </c>
      <c r="H211" s="656" t="s">
        <v>1182</v>
      </c>
      <c r="I211" s="656" t="s">
        <v>58</v>
      </c>
      <c r="J211" s="655">
        <v>22</v>
      </c>
      <c r="K211" s="655">
        <v>1</v>
      </c>
      <c r="L211" s="656" t="s">
        <v>34</v>
      </c>
      <c r="M211" s="656" t="s">
        <v>50</v>
      </c>
      <c r="N211" s="656" t="s">
        <v>76</v>
      </c>
      <c r="O211" s="656" t="s">
        <v>67</v>
      </c>
      <c r="P211" s="656" t="s">
        <v>47</v>
      </c>
      <c r="Q211" s="657">
        <v>0</v>
      </c>
      <c r="R211" s="657">
        <v>0</v>
      </c>
      <c r="S211" s="657">
        <v>0</v>
      </c>
      <c r="T211" s="657">
        <v>0</v>
      </c>
      <c r="U211" s="657">
        <v>0</v>
      </c>
      <c r="V211" s="655">
        <v>2021</v>
      </c>
      <c r="W211" s="659"/>
      <c r="X211" s="660" t="str">
        <f t="shared" si="11"/>
        <v/>
      </c>
      <c r="Y211" s="661" t="str">
        <f t="shared" si="9"/>
        <v/>
      </c>
      <c r="Z211" s="661" t="str">
        <f t="shared" si="10"/>
        <v/>
      </c>
    </row>
    <row r="212" spans="1:26" s="128" customFormat="1" ht="25" hidden="1">
      <c r="A212" s="655">
        <v>2503</v>
      </c>
      <c r="B212" s="656" t="s">
        <v>33</v>
      </c>
      <c r="C212" s="655" t="s">
        <v>2793</v>
      </c>
      <c r="D212" s="656" t="s">
        <v>626</v>
      </c>
      <c r="E212" s="656" t="s">
        <v>107</v>
      </c>
      <c r="F212" s="655">
        <v>4226</v>
      </c>
      <c r="G212" s="656" t="s">
        <v>57</v>
      </c>
      <c r="H212" s="656" t="s">
        <v>1182</v>
      </c>
      <c r="I212" s="656" t="s">
        <v>58</v>
      </c>
      <c r="J212" s="655">
        <v>22</v>
      </c>
      <c r="K212" s="655">
        <v>1</v>
      </c>
      <c r="L212" s="656" t="s">
        <v>34</v>
      </c>
      <c r="M212" s="656" t="s">
        <v>50</v>
      </c>
      <c r="N212" s="656" t="s">
        <v>39</v>
      </c>
      <c r="O212" s="656" t="s">
        <v>39</v>
      </c>
      <c r="P212" s="656" t="s">
        <v>1037</v>
      </c>
      <c r="Q212" s="657">
        <v>16386</v>
      </c>
      <c r="R212" s="657">
        <v>16386</v>
      </c>
      <c r="S212" s="657">
        <v>16846</v>
      </c>
      <c r="T212" s="657">
        <v>16846</v>
      </c>
      <c r="U212" s="657">
        <v>978</v>
      </c>
      <c r="V212" s="655">
        <v>2021</v>
      </c>
      <c r="W212" s="659"/>
      <c r="X212" s="660">
        <f t="shared" si="11"/>
        <v>17.224948875255624</v>
      </c>
      <c r="Y212" s="661" t="str">
        <f t="shared" si="9"/>
        <v/>
      </c>
      <c r="Z212" s="661" t="str">
        <f t="shared" si="10"/>
        <v/>
      </c>
    </row>
    <row r="213" spans="1:26" s="128" customFormat="1" ht="14.15" hidden="1" customHeight="1">
      <c r="A213" s="655">
        <v>2504</v>
      </c>
      <c r="B213" s="656" t="s">
        <v>33</v>
      </c>
      <c r="C213" s="655" t="s">
        <v>2793</v>
      </c>
      <c r="D213" s="656" t="s">
        <v>112</v>
      </c>
      <c r="E213" s="656" t="s">
        <v>107</v>
      </c>
      <c r="F213" s="655">
        <v>4226</v>
      </c>
      <c r="G213" s="656" t="s">
        <v>57</v>
      </c>
      <c r="H213" s="656" t="s">
        <v>1182</v>
      </c>
      <c r="I213" s="656" t="s">
        <v>58</v>
      </c>
      <c r="J213" s="655">
        <v>22</v>
      </c>
      <c r="K213" s="655">
        <v>1</v>
      </c>
      <c r="L213" s="656" t="s">
        <v>34</v>
      </c>
      <c r="M213" s="656" t="s">
        <v>50</v>
      </c>
      <c r="N213" s="656" t="s">
        <v>76</v>
      </c>
      <c r="O213" s="656" t="s">
        <v>67</v>
      </c>
      <c r="P213" s="656" t="s">
        <v>47</v>
      </c>
      <c r="Q213" s="657">
        <v>2152</v>
      </c>
      <c r="R213" s="657">
        <v>2152</v>
      </c>
      <c r="S213" s="657">
        <v>12114</v>
      </c>
      <c r="T213" s="657">
        <v>12114</v>
      </c>
      <c r="U213" s="657">
        <v>786</v>
      </c>
      <c r="V213" s="655">
        <v>2021</v>
      </c>
      <c r="W213" s="659" t="s">
        <v>3675</v>
      </c>
      <c r="X213" s="660">
        <f t="shared" si="11"/>
        <v>15.412213740458014</v>
      </c>
      <c r="Y213" s="661" t="str">
        <f t="shared" si="9"/>
        <v/>
      </c>
      <c r="Z213" s="661" t="str">
        <f t="shared" si="10"/>
        <v/>
      </c>
    </row>
    <row r="214" spans="1:26" s="128" customFormat="1" ht="25" hidden="1">
      <c r="A214" s="655">
        <v>2511</v>
      </c>
      <c r="B214" s="656" t="s">
        <v>33</v>
      </c>
      <c r="C214" s="655" t="s">
        <v>2793</v>
      </c>
      <c r="D214" s="656" t="s">
        <v>113</v>
      </c>
      <c r="E214" s="656" t="s">
        <v>627</v>
      </c>
      <c r="F214" s="655">
        <v>56505</v>
      </c>
      <c r="G214" s="656" t="s">
        <v>57</v>
      </c>
      <c r="H214" s="656" t="s">
        <v>1182</v>
      </c>
      <c r="I214" s="656" t="s">
        <v>58</v>
      </c>
      <c r="J214" s="655">
        <v>22</v>
      </c>
      <c r="K214" s="655">
        <v>1</v>
      </c>
      <c r="L214" s="656" t="s">
        <v>34</v>
      </c>
      <c r="M214" s="656" t="s">
        <v>50</v>
      </c>
      <c r="N214" s="656" t="s">
        <v>46</v>
      </c>
      <c r="O214" s="656" t="s">
        <v>46</v>
      </c>
      <c r="P214" s="656" t="s">
        <v>47</v>
      </c>
      <c r="Q214" s="657">
        <v>2839</v>
      </c>
      <c r="R214" s="657">
        <v>2839</v>
      </c>
      <c r="S214" s="657">
        <v>16131</v>
      </c>
      <c r="T214" s="657">
        <v>16131</v>
      </c>
      <c r="U214" s="657">
        <v>1073.373</v>
      </c>
      <c r="V214" s="655">
        <v>2021</v>
      </c>
      <c r="W214" s="659" t="s">
        <v>3675</v>
      </c>
      <c r="X214" s="660">
        <f t="shared" si="11"/>
        <v>15.028326592899205</v>
      </c>
      <c r="Y214" s="661" t="str">
        <f t="shared" si="9"/>
        <v/>
      </c>
      <c r="Z214" s="661" t="str">
        <f t="shared" si="10"/>
        <v/>
      </c>
    </row>
    <row r="215" spans="1:26" s="128" customFormat="1" ht="25" hidden="1">
      <c r="A215" s="655">
        <v>2511</v>
      </c>
      <c r="B215" s="656" t="s">
        <v>33</v>
      </c>
      <c r="C215" s="655" t="s">
        <v>2793</v>
      </c>
      <c r="D215" s="656" t="s">
        <v>113</v>
      </c>
      <c r="E215" s="656" t="s">
        <v>627</v>
      </c>
      <c r="F215" s="655">
        <v>56505</v>
      </c>
      <c r="G215" s="656" t="s">
        <v>57</v>
      </c>
      <c r="H215" s="656" t="s">
        <v>1182</v>
      </c>
      <c r="I215" s="656" t="s">
        <v>58</v>
      </c>
      <c r="J215" s="655">
        <v>22</v>
      </c>
      <c r="K215" s="655">
        <v>1</v>
      </c>
      <c r="L215" s="656" t="s">
        <v>34</v>
      </c>
      <c r="M215" s="656" t="s">
        <v>50</v>
      </c>
      <c r="N215" s="656" t="s">
        <v>39</v>
      </c>
      <c r="O215" s="656" t="s">
        <v>39</v>
      </c>
      <c r="P215" s="656" t="s">
        <v>1037</v>
      </c>
      <c r="Q215" s="657">
        <v>2243743</v>
      </c>
      <c r="R215" s="657">
        <v>2243743</v>
      </c>
      <c r="S215" s="657">
        <v>2311055</v>
      </c>
      <c r="T215" s="657">
        <v>2311055</v>
      </c>
      <c r="U215" s="657">
        <v>144950.63</v>
      </c>
      <c r="V215" s="655">
        <v>2021</v>
      </c>
      <c r="W215" s="659" t="s">
        <v>3675</v>
      </c>
      <c r="X215" s="660">
        <f t="shared" si="11"/>
        <v>15.943738913035425</v>
      </c>
      <c r="Y215" s="661" t="str">
        <f t="shared" si="9"/>
        <v/>
      </c>
      <c r="Z215" s="661" t="str">
        <f t="shared" si="10"/>
        <v/>
      </c>
    </row>
    <row r="216" spans="1:26" s="128" customFormat="1" ht="25" hidden="1">
      <c r="A216" s="655">
        <v>2511</v>
      </c>
      <c r="B216" s="656" t="s">
        <v>33</v>
      </c>
      <c r="C216" s="655" t="s">
        <v>2793</v>
      </c>
      <c r="D216" s="656" t="s">
        <v>113</v>
      </c>
      <c r="E216" s="656" t="s">
        <v>627</v>
      </c>
      <c r="F216" s="655">
        <v>56505</v>
      </c>
      <c r="G216" s="656" t="s">
        <v>57</v>
      </c>
      <c r="H216" s="656" t="s">
        <v>1182</v>
      </c>
      <c r="I216" s="656" t="s">
        <v>58</v>
      </c>
      <c r="J216" s="655">
        <v>22</v>
      </c>
      <c r="K216" s="655">
        <v>1</v>
      </c>
      <c r="L216" s="656" t="s">
        <v>34</v>
      </c>
      <c r="M216" s="656" t="s">
        <v>42</v>
      </c>
      <c r="N216" s="656" t="s">
        <v>39</v>
      </c>
      <c r="O216" s="656" t="s">
        <v>39</v>
      </c>
      <c r="P216" s="656" t="s">
        <v>1037</v>
      </c>
      <c r="Q216" s="657">
        <v>14270572</v>
      </c>
      <c r="R216" s="657">
        <v>14270572</v>
      </c>
      <c r="S216" s="657">
        <v>14692847</v>
      </c>
      <c r="T216" s="657">
        <v>14692847</v>
      </c>
      <c r="U216" s="657">
        <v>1338100.7</v>
      </c>
      <c r="V216" s="655">
        <v>2021</v>
      </c>
      <c r="W216" s="659" t="s">
        <v>3675</v>
      </c>
      <c r="X216" s="660">
        <f t="shared" si="11"/>
        <v>10.980374645944062</v>
      </c>
      <c r="Y216" s="661" t="str">
        <f t="shared" si="9"/>
        <v/>
      </c>
      <c r="Z216" s="661" t="str">
        <f t="shared" si="10"/>
        <v/>
      </c>
    </row>
    <row r="217" spans="1:26" s="128" customFormat="1" ht="25" hidden="1">
      <c r="A217" s="655">
        <v>2511</v>
      </c>
      <c r="B217" s="656" t="s">
        <v>33</v>
      </c>
      <c r="C217" s="655" t="s">
        <v>2793</v>
      </c>
      <c r="D217" s="656" t="s">
        <v>113</v>
      </c>
      <c r="E217" s="656" t="s">
        <v>627</v>
      </c>
      <c r="F217" s="655">
        <v>56505</v>
      </c>
      <c r="G217" s="656" t="s">
        <v>57</v>
      </c>
      <c r="H217" s="656" t="s">
        <v>1182</v>
      </c>
      <c r="I217" s="656" t="s">
        <v>58</v>
      </c>
      <c r="J217" s="655">
        <v>22</v>
      </c>
      <c r="K217" s="655">
        <v>1</v>
      </c>
      <c r="L217" s="656" t="s">
        <v>34</v>
      </c>
      <c r="M217" s="656" t="s">
        <v>42</v>
      </c>
      <c r="N217" s="656" t="s">
        <v>61</v>
      </c>
      <c r="O217" s="656" t="s">
        <v>61</v>
      </c>
      <c r="P217" s="656" t="s">
        <v>47</v>
      </c>
      <c r="Q217" s="657">
        <v>56382</v>
      </c>
      <c r="R217" s="657">
        <v>56382</v>
      </c>
      <c r="S217" s="657">
        <v>355223</v>
      </c>
      <c r="T217" s="657">
        <v>355223</v>
      </c>
      <c r="U217" s="657">
        <v>32707.307000000001</v>
      </c>
      <c r="V217" s="655">
        <v>2021</v>
      </c>
      <c r="W217" s="659" t="s">
        <v>3675</v>
      </c>
      <c r="X217" s="660">
        <f t="shared" si="11"/>
        <v>10.860661808690027</v>
      </c>
      <c r="Y217" s="661" t="str">
        <f t="shared" si="9"/>
        <v/>
      </c>
      <c r="Z217" s="661" t="str">
        <f t="shared" si="10"/>
        <v/>
      </c>
    </row>
    <row r="218" spans="1:26" s="128" customFormat="1" ht="25" hidden="1">
      <c r="A218" s="655">
        <v>2512</v>
      </c>
      <c r="B218" s="656" t="s">
        <v>33</v>
      </c>
      <c r="C218" s="655" t="s">
        <v>2793</v>
      </c>
      <c r="D218" s="656" t="s">
        <v>628</v>
      </c>
      <c r="E218" s="656" t="s">
        <v>627</v>
      </c>
      <c r="F218" s="655">
        <v>56505</v>
      </c>
      <c r="G218" s="656" t="s">
        <v>57</v>
      </c>
      <c r="H218" s="656" t="s">
        <v>1182</v>
      </c>
      <c r="I218" s="656" t="s">
        <v>58</v>
      </c>
      <c r="J218" s="655">
        <v>22</v>
      </c>
      <c r="K218" s="655">
        <v>1</v>
      </c>
      <c r="L218" s="656" t="s">
        <v>34</v>
      </c>
      <c r="M218" s="656" t="s">
        <v>50</v>
      </c>
      <c r="N218" s="656" t="s">
        <v>46</v>
      </c>
      <c r="O218" s="656" t="s">
        <v>46</v>
      </c>
      <c r="P218" s="656" t="s">
        <v>47</v>
      </c>
      <c r="Q218" s="657">
        <v>25779</v>
      </c>
      <c r="R218" s="657">
        <v>25779</v>
      </c>
      <c r="S218" s="657">
        <v>146529</v>
      </c>
      <c r="T218" s="657">
        <v>146529</v>
      </c>
      <c r="U218" s="657">
        <v>10446</v>
      </c>
      <c r="V218" s="655">
        <v>2021</v>
      </c>
      <c r="W218" s="659"/>
      <c r="X218" s="660">
        <f t="shared" si="11"/>
        <v>14.027283170591614</v>
      </c>
      <c r="Y218" s="661" t="str">
        <f t="shared" si="9"/>
        <v/>
      </c>
      <c r="Z218" s="661" t="str">
        <f t="shared" si="10"/>
        <v/>
      </c>
    </row>
    <row r="219" spans="1:26" s="128" customFormat="1" ht="25" hidden="1">
      <c r="A219" s="655">
        <v>2512</v>
      </c>
      <c r="B219" s="656" t="s">
        <v>33</v>
      </c>
      <c r="C219" s="655" t="s">
        <v>2793</v>
      </c>
      <c r="D219" s="656" t="s">
        <v>628</v>
      </c>
      <c r="E219" s="656" t="s">
        <v>627</v>
      </c>
      <c r="F219" s="655">
        <v>56505</v>
      </c>
      <c r="G219" s="656" t="s">
        <v>57</v>
      </c>
      <c r="H219" s="656" t="s">
        <v>1182</v>
      </c>
      <c r="I219" s="656" t="s">
        <v>58</v>
      </c>
      <c r="J219" s="655">
        <v>22</v>
      </c>
      <c r="K219" s="655">
        <v>1</v>
      </c>
      <c r="L219" s="656" t="s">
        <v>34</v>
      </c>
      <c r="M219" s="656" t="s">
        <v>51</v>
      </c>
      <c r="N219" s="656" t="s">
        <v>46</v>
      </c>
      <c r="O219" s="656" t="s">
        <v>46</v>
      </c>
      <c r="P219" s="656" t="s">
        <v>47</v>
      </c>
      <c r="Q219" s="657">
        <v>4778</v>
      </c>
      <c r="R219" s="657">
        <v>4778</v>
      </c>
      <c r="S219" s="657">
        <v>27162</v>
      </c>
      <c r="T219" s="657">
        <v>27162</v>
      </c>
      <c r="U219" s="657">
        <v>2540</v>
      </c>
      <c r="V219" s="655">
        <v>2021</v>
      </c>
      <c r="W219" s="659"/>
      <c r="X219" s="660">
        <f t="shared" si="11"/>
        <v>10.693700787401575</v>
      </c>
      <c r="Y219" s="661" t="str">
        <f t="shared" si="9"/>
        <v/>
      </c>
      <c r="Z219" s="661" t="str">
        <f t="shared" si="10"/>
        <v/>
      </c>
    </row>
    <row r="220" spans="1:26" s="128" customFormat="1" ht="25" hidden="1">
      <c r="A220" s="655">
        <v>2514</v>
      </c>
      <c r="B220" s="656" t="s">
        <v>33</v>
      </c>
      <c r="C220" s="655" t="s">
        <v>2793</v>
      </c>
      <c r="D220" s="656" t="s">
        <v>114</v>
      </c>
      <c r="E220" s="656" t="s">
        <v>627</v>
      </c>
      <c r="F220" s="655">
        <v>56505</v>
      </c>
      <c r="G220" s="656" t="s">
        <v>57</v>
      </c>
      <c r="H220" s="656" t="s">
        <v>1182</v>
      </c>
      <c r="I220" s="656" t="s">
        <v>58</v>
      </c>
      <c r="J220" s="655">
        <v>22</v>
      </c>
      <c r="K220" s="655">
        <v>1</v>
      </c>
      <c r="L220" s="656" t="s">
        <v>34</v>
      </c>
      <c r="M220" s="656" t="s">
        <v>50</v>
      </c>
      <c r="N220" s="656" t="s">
        <v>46</v>
      </c>
      <c r="O220" s="656" t="s">
        <v>46</v>
      </c>
      <c r="P220" s="656" t="s">
        <v>47</v>
      </c>
      <c r="Q220" s="657">
        <v>12324</v>
      </c>
      <c r="R220" s="657">
        <v>12324</v>
      </c>
      <c r="S220" s="657">
        <v>70209</v>
      </c>
      <c r="T220" s="657">
        <v>70209</v>
      </c>
      <c r="U220" s="657">
        <v>4497.9989999999998</v>
      </c>
      <c r="V220" s="655">
        <v>2021</v>
      </c>
      <c r="W220" s="659" t="s">
        <v>3675</v>
      </c>
      <c r="X220" s="660">
        <f t="shared" si="11"/>
        <v>15.608940775664912</v>
      </c>
      <c r="Y220" s="661" t="str">
        <f t="shared" si="9"/>
        <v/>
      </c>
      <c r="Z220" s="661" t="str">
        <f t="shared" si="10"/>
        <v/>
      </c>
    </row>
    <row r="221" spans="1:26" s="128" customFormat="1" ht="25" hidden="1">
      <c r="A221" s="655">
        <v>2514</v>
      </c>
      <c r="B221" s="656" t="s">
        <v>33</v>
      </c>
      <c r="C221" s="655" t="s">
        <v>2793</v>
      </c>
      <c r="D221" s="656" t="s">
        <v>114</v>
      </c>
      <c r="E221" s="656" t="s">
        <v>627</v>
      </c>
      <c r="F221" s="655">
        <v>56505</v>
      </c>
      <c r="G221" s="656" t="s">
        <v>57</v>
      </c>
      <c r="H221" s="656" t="s">
        <v>1182</v>
      </c>
      <c r="I221" s="656" t="s">
        <v>58</v>
      </c>
      <c r="J221" s="655">
        <v>22</v>
      </c>
      <c r="K221" s="655">
        <v>1</v>
      </c>
      <c r="L221" s="656" t="s">
        <v>34</v>
      </c>
      <c r="M221" s="656" t="s">
        <v>50</v>
      </c>
      <c r="N221" s="656" t="s">
        <v>39</v>
      </c>
      <c r="O221" s="656" t="s">
        <v>39</v>
      </c>
      <c r="P221" s="656" t="s">
        <v>1037</v>
      </c>
      <c r="Q221" s="657">
        <v>0</v>
      </c>
      <c r="R221" s="657">
        <v>0</v>
      </c>
      <c r="S221" s="657">
        <v>0</v>
      </c>
      <c r="T221" s="657">
        <v>0</v>
      </c>
      <c r="U221" s="657">
        <v>0</v>
      </c>
      <c r="V221" s="655">
        <v>2021</v>
      </c>
      <c r="W221" s="659" t="s">
        <v>3675</v>
      </c>
      <c r="X221" s="660" t="str">
        <f t="shared" si="11"/>
        <v/>
      </c>
      <c r="Y221" s="661" t="str">
        <f t="shared" si="9"/>
        <v/>
      </c>
      <c r="Z221" s="661" t="str">
        <f t="shared" si="10"/>
        <v/>
      </c>
    </row>
    <row r="222" spans="1:26" s="128" customFormat="1" ht="25" hidden="1">
      <c r="A222" s="655">
        <v>2516</v>
      </c>
      <c r="B222" s="656" t="s">
        <v>33</v>
      </c>
      <c r="C222" s="655" t="s">
        <v>2793</v>
      </c>
      <c r="D222" s="656" t="s">
        <v>115</v>
      </c>
      <c r="E222" s="656" t="s">
        <v>627</v>
      </c>
      <c r="F222" s="655">
        <v>56505</v>
      </c>
      <c r="G222" s="656" t="s">
        <v>57</v>
      </c>
      <c r="H222" s="656" t="s">
        <v>1182</v>
      </c>
      <c r="I222" s="656" t="s">
        <v>58</v>
      </c>
      <c r="J222" s="655">
        <v>22</v>
      </c>
      <c r="K222" s="655">
        <v>1</v>
      </c>
      <c r="L222" s="656" t="s">
        <v>34</v>
      </c>
      <c r="M222" s="656" t="s">
        <v>50</v>
      </c>
      <c r="N222" s="656" t="s">
        <v>46</v>
      </c>
      <c r="O222" s="656" t="s">
        <v>46</v>
      </c>
      <c r="P222" s="656" t="s">
        <v>47</v>
      </c>
      <c r="Q222" s="657">
        <v>2129</v>
      </c>
      <c r="R222" s="657">
        <v>2129</v>
      </c>
      <c r="S222" s="657">
        <v>12142</v>
      </c>
      <c r="T222" s="657">
        <v>12142</v>
      </c>
      <c r="U222" s="657">
        <v>490</v>
      </c>
      <c r="V222" s="655">
        <v>2021</v>
      </c>
      <c r="W222" s="659" t="s">
        <v>3675</v>
      </c>
      <c r="X222" s="660">
        <f t="shared" si="11"/>
        <v>24.779591836734692</v>
      </c>
      <c r="Y222" s="661" t="str">
        <f t="shared" si="9"/>
        <v/>
      </c>
      <c r="Z222" s="661" t="str">
        <f t="shared" si="10"/>
        <v/>
      </c>
    </row>
    <row r="223" spans="1:26" s="128" customFormat="1" ht="25" hidden="1">
      <c r="A223" s="655">
        <v>2516</v>
      </c>
      <c r="B223" s="656" t="s">
        <v>33</v>
      </c>
      <c r="C223" s="655" t="s">
        <v>2793</v>
      </c>
      <c r="D223" s="656" t="s">
        <v>115</v>
      </c>
      <c r="E223" s="656" t="s">
        <v>627</v>
      </c>
      <c r="F223" s="655">
        <v>56505</v>
      </c>
      <c r="G223" s="656" t="s">
        <v>57</v>
      </c>
      <c r="H223" s="656" t="s">
        <v>1182</v>
      </c>
      <c r="I223" s="656" t="s">
        <v>58</v>
      </c>
      <c r="J223" s="655">
        <v>22</v>
      </c>
      <c r="K223" s="655">
        <v>1</v>
      </c>
      <c r="L223" s="656" t="s">
        <v>34</v>
      </c>
      <c r="M223" s="656" t="s">
        <v>42</v>
      </c>
      <c r="N223" s="656" t="s">
        <v>39</v>
      </c>
      <c r="O223" s="656" t="s">
        <v>39</v>
      </c>
      <c r="P223" s="656" t="s">
        <v>1037</v>
      </c>
      <c r="Q223" s="657">
        <v>36882664</v>
      </c>
      <c r="R223" s="657">
        <v>36882664</v>
      </c>
      <c r="S223" s="657">
        <v>38069321</v>
      </c>
      <c r="T223" s="657">
        <v>38069321</v>
      </c>
      <c r="U223" s="657">
        <v>3582529.6</v>
      </c>
      <c r="V223" s="655">
        <v>2021</v>
      </c>
      <c r="W223" s="659" t="s">
        <v>3675</v>
      </c>
      <c r="X223" s="660">
        <f t="shared" si="11"/>
        <v>10.626380030467857</v>
      </c>
      <c r="Y223" s="661" t="str">
        <f t="shared" si="9"/>
        <v/>
      </c>
      <c r="Z223" s="661" t="str">
        <f t="shared" si="10"/>
        <v/>
      </c>
    </row>
    <row r="224" spans="1:26" s="128" customFormat="1" ht="25" hidden="1">
      <c r="A224" s="655">
        <v>2516</v>
      </c>
      <c r="B224" s="656" t="s">
        <v>33</v>
      </c>
      <c r="C224" s="655" t="s">
        <v>2793</v>
      </c>
      <c r="D224" s="656" t="s">
        <v>115</v>
      </c>
      <c r="E224" s="656" t="s">
        <v>627</v>
      </c>
      <c r="F224" s="655">
        <v>56505</v>
      </c>
      <c r="G224" s="656" t="s">
        <v>57</v>
      </c>
      <c r="H224" s="656" t="s">
        <v>1182</v>
      </c>
      <c r="I224" s="656" t="s">
        <v>58</v>
      </c>
      <c r="J224" s="655">
        <v>22</v>
      </c>
      <c r="K224" s="655">
        <v>1</v>
      </c>
      <c r="L224" s="656" t="s">
        <v>34</v>
      </c>
      <c r="M224" s="656" t="s">
        <v>42</v>
      </c>
      <c r="N224" s="656" t="s">
        <v>61</v>
      </c>
      <c r="O224" s="656" t="s">
        <v>61</v>
      </c>
      <c r="P224" s="656" t="s">
        <v>47</v>
      </c>
      <c r="Q224" s="657">
        <v>610902</v>
      </c>
      <c r="R224" s="657">
        <v>610902</v>
      </c>
      <c r="S224" s="657">
        <v>3858009</v>
      </c>
      <c r="T224" s="657">
        <v>3858009</v>
      </c>
      <c r="U224" s="657">
        <v>366127.37</v>
      </c>
      <c r="V224" s="655">
        <v>2021</v>
      </c>
      <c r="W224" s="659" t="s">
        <v>3675</v>
      </c>
      <c r="X224" s="660">
        <f t="shared" si="11"/>
        <v>10.537341144421953</v>
      </c>
      <c r="Y224" s="661" t="str">
        <f t="shared" si="9"/>
        <v/>
      </c>
      <c r="Z224" s="661" t="str">
        <f t="shared" si="10"/>
        <v/>
      </c>
    </row>
    <row r="225" spans="1:26" s="128" customFormat="1" ht="25" hidden="1">
      <c r="A225" s="655">
        <v>2517</v>
      </c>
      <c r="B225" s="656" t="s">
        <v>33</v>
      </c>
      <c r="C225" s="655" t="s">
        <v>2793</v>
      </c>
      <c r="D225" s="656" t="s">
        <v>116</v>
      </c>
      <c r="E225" s="656" t="s">
        <v>627</v>
      </c>
      <c r="F225" s="655">
        <v>56505</v>
      </c>
      <c r="G225" s="656" t="s">
        <v>57</v>
      </c>
      <c r="H225" s="656" t="s">
        <v>1182</v>
      </c>
      <c r="I225" s="656" t="s">
        <v>58</v>
      </c>
      <c r="J225" s="655">
        <v>22</v>
      </c>
      <c r="K225" s="655">
        <v>1</v>
      </c>
      <c r="L225" s="656" t="s">
        <v>34</v>
      </c>
      <c r="M225" s="656" t="s">
        <v>50</v>
      </c>
      <c r="N225" s="656" t="s">
        <v>46</v>
      </c>
      <c r="O225" s="656" t="s">
        <v>46</v>
      </c>
      <c r="P225" s="656" t="s">
        <v>47</v>
      </c>
      <c r="Q225" s="657">
        <v>0</v>
      </c>
      <c r="R225" s="657">
        <v>0</v>
      </c>
      <c r="S225" s="657">
        <v>0</v>
      </c>
      <c r="T225" s="657">
        <v>0</v>
      </c>
      <c r="U225" s="657">
        <v>0</v>
      </c>
      <c r="V225" s="655">
        <v>2021</v>
      </c>
      <c r="W225" s="659" t="s">
        <v>3675</v>
      </c>
      <c r="X225" s="660" t="str">
        <f t="shared" si="11"/>
        <v/>
      </c>
      <c r="Y225" s="661" t="str">
        <f t="shared" si="9"/>
        <v/>
      </c>
      <c r="Z225" s="661" t="str">
        <f t="shared" si="10"/>
        <v/>
      </c>
    </row>
    <row r="226" spans="1:26" s="128" customFormat="1" ht="25" hidden="1">
      <c r="A226" s="655">
        <v>2517</v>
      </c>
      <c r="B226" s="656" t="s">
        <v>33</v>
      </c>
      <c r="C226" s="655" t="s">
        <v>2793</v>
      </c>
      <c r="D226" s="656" t="s">
        <v>116</v>
      </c>
      <c r="E226" s="656" t="s">
        <v>627</v>
      </c>
      <c r="F226" s="655">
        <v>56505</v>
      </c>
      <c r="G226" s="656" t="s">
        <v>57</v>
      </c>
      <c r="H226" s="656" t="s">
        <v>1182</v>
      </c>
      <c r="I226" s="656" t="s">
        <v>58</v>
      </c>
      <c r="J226" s="655">
        <v>22</v>
      </c>
      <c r="K226" s="655">
        <v>1</v>
      </c>
      <c r="L226" s="656" t="s">
        <v>34</v>
      </c>
      <c r="M226" s="656" t="s">
        <v>50</v>
      </c>
      <c r="N226" s="656" t="s">
        <v>76</v>
      </c>
      <c r="O226" s="656" t="s">
        <v>67</v>
      </c>
      <c r="P226" s="656" t="s">
        <v>47</v>
      </c>
      <c r="Q226" s="657">
        <v>4480</v>
      </c>
      <c r="R226" s="657">
        <v>4480</v>
      </c>
      <c r="S226" s="657">
        <v>25486</v>
      </c>
      <c r="T226" s="657">
        <v>25486</v>
      </c>
      <c r="U226" s="657">
        <v>2274.4169999999999</v>
      </c>
      <c r="V226" s="655">
        <v>2021</v>
      </c>
      <c r="W226" s="659" t="s">
        <v>3675</v>
      </c>
      <c r="X226" s="660">
        <f t="shared" si="11"/>
        <v>11.205508928222045</v>
      </c>
      <c r="Y226" s="661" t="str">
        <f t="shared" si="9"/>
        <v/>
      </c>
      <c r="Z226" s="661" t="str">
        <f t="shared" si="10"/>
        <v/>
      </c>
    </row>
    <row r="227" spans="1:26" s="128" customFormat="1" ht="25" hidden="1">
      <c r="A227" s="655">
        <v>2517</v>
      </c>
      <c r="B227" s="656" t="s">
        <v>33</v>
      </c>
      <c r="C227" s="655" t="s">
        <v>2793</v>
      </c>
      <c r="D227" s="656" t="s">
        <v>116</v>
      </c>
      <c r="E227" s="656" t="s">
        <v>627</v>
      </c>
      <c r="F227" s="655">
        <v>56505</v>
      </c>
      <c r="G227" s="656" t="s">
        <v>57</v>
      </c>
      <c r="H227" s="656" t="s">
        <v>1182</v>
      </c>
      <c r="I227" s="656" t="s">
        <v>58</v>
      </c>
      <c r="J227" s="655">
        <v>22</v>
      </c>
      <c r="K227" s="655">
        <v>1</v>
      </c>
      <c r="L227" s="656" t="s">
        <v>34</v>
      </c>
      <c r="M227" s="656" t="s">
        <v>50</v>
      </c>
      <c r="N227" s="656" t="s">
        <v>39</v>
      </c>
      <c r="O227" s="656" t="s">
        <v>39</v>
      </c>
      <c r="P227" s="656" t="s">
        <v>1037</v>
      </c>
      <c r="Q227" s="657">
        <v>928219</v>
      </c>
      <c r="R227" s="657">
        <v>928219</v>
      </c>
      <c r="S227" s="657">
        <v>956172</v>
      </c>
      <c r="T227" s="657">
        <v>956172</v>
      </c>
      <c r="U227" s="657">
        <v>86887.582999999999</v>
      </c>
      <c r="V227" s="655">
        <v>2021</v>
      </c>
      <c r="W227" s="659" t="s">
        <v>3675</v>
      </c>
      <c r="X227" s="660">
        <f t="shared" si="11"/>
        <v>11.004702478603877</v>
      </c>
      <c r="Y227" s="661" t="str">
        <f t="shared" si="9"/>
        <v/>
      </c>
      <c r="Z227" s="661" t="str">
        <f t="shared" si="10"/>
        <v/>
      </c>
    </row>
    <row r="228" spans="1:26" s="128" customFormat="1" ht="25" hidden="1">
      <c r="A228" s="655">
        <v>2517</v>
      </c>
      <c r="B228" s="656" t="s">
        <v>33</v>
      </c>
      <c r="C228" s="655" t="s">
        <v>2793</v>
      </c>
      <c r="D228" s="656" t="s">
        <v>116</v>
      </c>
      <c r="E228" s="656" t="s">
        <v>627</v>
      </c>
      <c r="F228" s="655">
        <v>56505</v>
      </c>
      <c r="G228" s="656" t="s">
        <v>57</v>
      </c>
      <c r="H228" s="656" t="s">
        <v>1182</v>
      </c>
      <c r="I228" s="656" t="s">
        <v>58</v>
      </c>
      <c r="J228" s="655">
        <v>22</v>
      </c>
      <c r="K228" s="655">
        <v>1</v>
      </c>
      <c r="L228" s="656" t="s">
        <v>34</v>
      </c>
      <c r="M228" s="656" t="s">
        <v>42</v>
      </c>
      <c r="N228" s="656" t="s">
        <v>39</v>
      </c>
      <c r="O228" s="656" t="s">
        <v>39</v>
      </c>
      <c r="P228" s="656" t="s">
        <v>1037</v>
      </c>
      <c r="Q228" s="657">
        <v>4438383</v>
      </c>
      <c r="R228" s="657">
        <v>4438383</v>
      </c>
      <c r="S228" s="657">
        <v>4571851</v>
      </c>
      <c r="T228" s="657">
        <v>4571851</v>
      </c>
      <c r="U228" s="657">
        <v>391502.64</v>
      </c>
      <c r="V228" s="655">
        <v>2021</v>
      </c>
      <c r="W228" s="659" t="s">
        <v>3675</v>
      </c>
      <c r="X228" s="660">
        <f t="shared" si="11"/>
        <v>11.677701585869254</v>
      </c>
      <c r="Y228" s="661" t="str">
        <f t="shared" si="9"/>
        <v/>
      </c>
      <c r="Z228" s="661" t="str">
        <f t="shared" si="10"/>
        <v/>
      </c>
    </row>
    <row r="229" spans="1:26" s="128" customFormat="1" ht="25" hidden="1">
      <c r="A229" s="655">
        <v>2517</v>
      </c>
      <c r="B229" s="656" t="s">
        <v>33</v>
      </c>
      <c r="C229" s="655" t="s">
        <v>2793</v>
      </c>
      <c r="D229" s="656" t="s">
        <v>116</v>
      </c>
      <c r="E229" s="656" t="s">
        <v>627</v>
      </c>
      <c r="F229" s="655">
        <v>56505</v>
      </c>
      <c r="G229" s="656" t="s">
        <v>57</v>
      </c>
      <c r="H229" s="656" t="s">
        <v>1182</v>
      </c>
      <c r="I229" s="656" t="s">
        <v>58</v>
      </c>
      <c r="J229" s="655">
        <v>22</v>
      </c>
      <c r="K229" s="655">
        <v>1</v>
      </c>
      <c r="L229" s="656" t="s">
        <v>34</v>
      </c>
      <c r="M229" s="656" t="s">
        <v>42</v>
      </c>
      <c r="N229" s="656" t="s">
        <v>61</v>
      </c>
      <c r="O229" s="656" t="s">
        <v>61</v>
      </c>
      <c r="P229" s="656" t="s">
        <v>47</v>
      </c>
      <c r="Q229" s="657">
        <v>81399</v>
      </c>
      <c r="R229" s="657">
        <v>81399</v>
      </c>
      <c r="S229" s="657">
        <v>512582</v>
      </c>
      <c r="T229" s="657">
        <v>512582</v>
      </c>
      <c r="U229" s="657">
        <v>43601.364999999998</v>
      </c>
      <c r="V229" s="655">
        <v>2021</v>
      </c>
      <c r="W229" s="659" t="s">
        <v>3675</v>
      </c>
      <c r="X229" s="660">
        <f t="shared" si="11"/>
        <v>11.756099837700036</v>
      </c>
      <c r="Y229" s="661" t="str">
        <f t="shared" si="9"/>
        <v/>
      </c>
      <c r="Z229" s="661" t="str">
        <f t="shared" si="10"/>
        <v/>
      </c>
    </row>
    <row r="230" spans="1:26" s="128" customFormat="1" ht="25" hidden="1">
      <c r="A230" s="655">
        <v>2518</v>
      </c>
      <c r="B230" s="656" t="s">
        <v>33</v>
      </c>
      <c r="C230" s="655" t="s">
        <v>2793</v>
      </c>
      <c r="D230" s="656" t="s">
        <v>629</v>
      </c>
      <c r="E230" s="656" t="s">
        <v>627</v>
      </c>
      <c r="F230" s="655">
        <v>56505</v>
      </c>
      <c r="G230" s="656" t="s">
        <v>57</v>
      </c>
      <c r="H230" s="656" t="s">
        <v>1182</v>
      </c>
      <c r="I230" s="656" t="s">
        <v>58</v>
      </c>
      <c r="J230" s="655">
        <v>22</v>
      </c>
      <c r="K230" s="655">
        <v>1</v>
      </c>
      <c r="L230" s="656" t="s">
        <v>34</v>
      </c>
      <c r="M230" s="656" t="s">
        <v>50</v>
      </c>
      <c r="N230" s="656" t="s">
        <v>46</v>
      </c>
      <c r="O230" s="656" t="s">
        <v>46</v>
      </c>
      <c r="P230" s="656" t="s">
        <v>47</v>
      </c>
      <c r="Q230" s="657">
        <v>10832</v>
      </c>
      <c r="R230" s="657">
        <v>10832</v>
      </c>
      <c r="S230" s="657">
        <v>61689</v>
      </c>
      <c r="T230" s="657">
        <v>61689</v>
      </c>
      <c r="U230" s="657">
        <v>3966</v>
      </c>
      <c r="V230" s="655">
        <v>2021</v>
      </c>
      <c r="W230" s="659"/>
      <c r="X230" s="660">
        <f t="shared" si="11"/>
        <v>15.55446293494705</v>
      </c>
      <c r="Y230" s="661" t="str">
        <f t="shared" si="9"/>
        <v/>
      </c>
      <c r="Z230" s="661" t="str">
        <f t="shared" si="10"/>
        <v/>
      </c>
    </row>
    <row r="231" spans="1:26" s="128" customFormat="1" ht="25" hidden="1">
      <c r="A231" s="655">
        <v>2519</v>
      </c>
      <c r="B231" s="656" t="s">
        <v>33</v>
      </c>
      <c r="C231" s="655" t="s">
        <v>2793</v>
      </c>
      <c r="D231" s="656" t="s">
        <v>630</v>
      </c>
      <c r="E231" s="656" t="s">
        <v>627</v>
      </c>
      <c r="F231" s="655">
        <v>56505</v>
      </c>
      <c r="G231" s="656" t="s">
        <v>57</v>
      </c>
      <c r="H231" s="656" t="s">
        <v>1182</v>
      </c>
      <c r="I231" s="656" t="s">
        <v>58</v>
      </c>
      <c r="J231" s="655">
        <v>22</v>
      </c>
      <c r="K231" s="655">
        <v>1</v>
      </c>
      <c r="L231" s="656" t="s">
        <v>34</v>
      </c>
      <c r="M231" s="656" t="s">
        <v>50</v>
      </c>
      <c r="N231" s="656" t="s">
        <v>46</v>
      </c>
      <c r="O231" s="656" t="s">
        <v>46</v>
      </c>
      <c r="P231" s="656" t="s">
        <v>47</v>
      </c>
      <c r="Q231" s="657">
        <v>2743</v>
      </c>
      <c r="R231" s="657">
        <v>2743</v>
      </c>
      <c r="S231" s="657">
        <v>15594</v>
      </c>
      <c r="T231" s="657">
        <v>15594</v>
      </c>
      <c r="U231" s="657">
        <v>527</v>
      </c>
      <c r="V231" s="655">
        <v>2021</v>
      </c>
      <c r="W231" s="659"/>
      <c r="X231" s="660">
        <f t="shared" si="11"/>
        <v>29.590132827324478</v>
      </c>
      <c r="Y231" s="661" t="str">
        <f t="shared" si="9"/>
        <v/>
      </c>
      <c r="Z231" s="661" t="str">
        <f t="shared" si="10"/>
        <v/>
      </c>
    </row>
    <row r="232" spans="1:26" s="128" customFormat="1" ht="25" hidden="1">
      <c r="A232" s="655">
        <v>2520</v>
      </c>
      <c r="B232" s="656" t="s">
        <v>33</v>
      </c>
      <c r="C232" s="655" t="s">
        <v>2793</v>
      </c>
      <c r="D232" s="656" t="s">
        <v>631</v>
      </c>
      <c r="E232" s="656" t="s">
        <v>627</v>
      </c>
      <c r="F232" s="655">
        <v>56505</v>
      </c>
      <c r="G232" s="656" t="s">
        <v>57</v>
      </c>
      <c r="H232" s="656" t="s">
        <v>1182</v>
      </c>
      <c r="I232" s="656" t="s">
        <v>58</v>
      </c>
      <c r="J232" s="655">
        <v>22</v>
      </c>
      <c r="K232" s="655">
        <v>1</v>
      </c>
      <c r="L232" s="656" t="s">
        <v>34</v>
      </c>
      <c r="M232" s="656" t="s">
        <v>50</v>
      </c>
      <c r="N232" s="656" t="s">
        <v>46</v>
      </c>
      <c r="O232" s="656" t="s">
        <v>46</v>
      </c>
      <c r="P232" s="656" t="s">
        <v>47</v>
      </c>
      <c r="Q232" s="657">
        <v>5528</v>
      </c>
      <c r="R232" s="657">
        <v>5528</v>
      </c>
      <c r="S232" s="657">
        <v>31470</v>
      </c>
      <c r="T232" s="657">
        <v>31470</v>
      </c>
      <c r="U232" s="657">
        <v>1391</v>
      </c>
      <c r="V232" s="655">
        <v>2021</v>
      </c>
      <c r="W232" s="659"/>
      <c r="X232" s="660">
        <f t="shared" si="11"/>
        <v>22.624011502516176</v>
      </c>
      <c r="Y232" s="661" t="str">
        <f t="shared" si="9"/>
        <v/>
      </c>
      <c r="Z232" s="661" t="str">
        <f t="shared" si="10"/>
        <v/>
      </c>
    </row>
    <row r="233" spans="1:26" s="128" customFormat="1" ht="25" hidden="1">
      <c r="A233" s="655">
        <v>2521</v>
      </c>
      <c r="B233" s="656" t="s">
        <v>33</v>
      </c>
      <c r="C233" s="655" t="s">
        <v>2793</v>
      </c>
      <c r="D233" s="656" t="s">
        <v>632</v>
      </c>
      <c r="E233" s="656" t="s">
        <v>627</v>
      </c>
      <c r="F233" s="655">
        <v>56505</v>
      </c>
      <c r="G233" s="656" t="s">
        <v>57</v>
      </c>
      <c r="H233" s="656" t="s">
        <v>1182</v>
      </c>
      <c r="I233" s="656" t="s">
        <v>58</v>
      </c>
      <c r="J233" s="655">
        <v>22</v>
      </c>
      <c r="K233" s="655">
        <v>1</v>
      </c>
      <c r="L233" s="656" t="s">
        <v>34</v>
      </c>
      <c r="M233" s="656" t="s">
        <v>50</v>
      </c>
      <c r="N233" s="656" t="s">
        <v>46</v>
      </c>
      <c r="O233" s="656" t="s">
        <v>46</v>
      </c>
      <c r="P233" s="656" t="s">
        <v>47</v>
      </c>
      <c r="Q233" s="657">
        <v>1659</v>
      </c>
      <c r="R233" s="657">
        <v>1659</v>
      </c>
      <c r="S233" s="657">
        <v>9467</v>
      </c>
      <c r="T233" s="657">
        <v>9467</v>
      </c>
      <c r="U233" s="657">
        <v>349</v>
      </c>
      <c r="V233" s="655">
        <v>2021</v>
      </c>
      <c r="W233" s="659"/>
      <c r="X233" s="660">
        <f t="shared" si="11"/>
        <v>27.126074498567334</v>
      </c>
      <c r="Y233" s="661" t="str">
        <f t="shared" si="9"/>
        <v/>
      </c>
      <c r="Z233" s="661" t="str">
        <f t="shared" si="10"/>
        <v/>
      </c>
    </row>
    <row r="234" spans="1:26" s="128" customFormat="1" ht="25" hidden="1">
      <c r="A234" s="655">
        <v>2522</v>
      </c>
      <c r="B234" s="656" t="s">
        <v>33</v>
      </c>
      <c r="C234" s="655" t="s">
        <v>2793</v>
      </c>
      <c r="D234" s="656" t="s">
        <v>633</v>
      </c>
      <c r="E234" s="656" t="s">
        <v>577</v>
      </c>
      <c r="F234" s="655">
        <v>13511</v>
      </c>
      <c r="G234" s="656" t="s">
        <v>57</v>
      </c>
      <c r="H234" s="656" t="s">
        <v>1182</v>
      </c>
      <c r="I234" s="656" t="s">
        <v>58</v>
      </c>
      <c r="J234" s="655">
        <v>22</v>
      </c>
      <c r="K234" s="655">
        <v>1</v>
      </c>
      <c r="L234" s="656" t="s">
        <v>34</v>
      </c>
      <c r="M234" s="656" t="s">
        <v>35</v>
      </c>
      <c r="N234" s="656" t="s">
        <v>36</v>
      </c>
      <c r="O234" s="656" t="s">
        <v>37</v>
      </c>
      <c r="P234" s="656" t="s">
        <v>1176</v>
      </c>
      <c r="Q234" s="657">
        <v>0</v>
      </c>
      <c r="R234" s="657">
        <v>0</v>
      </c>
      <c r="S234" s="657">
        <v>140709</v>
      </c>
      <c r="T234" s="657">
        <v>140709</v>
      </c>
      <c r="U234" s="657">
        <v>15912</v>
      </c>
      <c r="V234" s="655">
        <v>2021</v>
      </c>
      <c r="W234" s="659"/>
      <c r="X234" s="660">
        <f t="shared" si="11"/>
        <v>8.8429487179487172</v>
      </c>
      <c r="Y234" s="661" t="str">
        <f t="shared" si="9"/>
        <v/>
      </c>
      <c r="Z234" s="661" t="str">
        <f t="shared" si="10"/>
        <v/>
      </c>
    </row>
    <row r="235" spans="1:26" s="128" customFormat="1" ht="25" hidden="1">
      <c r="A235" s="655">
        <v>2527</v>
      </c>
      <c r="B235" s="656" t="s">
        <v>33</v>
      </c>
      <c r="C235" s="655" t="s">
        <v>2793</v>
      </c>
      <c r="D235" s="656" t="s">
        <v>1577</v>
      </c>
      <c r="E235" s="656" t="s">
        <v>1578</v>
      </c>
      <c r="F235" s="655">
        <v>25</v>
      </c>
      <c r="G235" s="656" t="s">
        <v>57</v>
      </c>
      <c r="H235" s="656" t="s">
        <v>1182</v>
      </c>
      <c r="I235" s="656" t="s">
        <v>58</v>
      </c>
      <c r="J235" s="655">
        <v>22</v>
      </c>
      <c r="K235" s="655">
        <v>2</v>
      </c>
      <c r="L235" s="656" t="s">
        <v>52</v>
      </c>
      <c r="M235" s="656" t="s">
        <v>42</v>
      </c>
      <c r="N235" s="656" t="s">
        <v>43</v>
      </c>
      <c r="O235" s="656" t="s">
        <v>44</v>
      </c>
      <c r="P235" s="656" t="s">
        <v>45</v>
      </c>
      <c r="Q235" s="657">
        <v>0</v>
      </c>
      <c r="R235" s="657">
        <v>0</v>
      </c>
      <c r="S235" s="657">
        <v>0</v>
      </c>
      <c r="T235" s="657">
        <v>0</v>
      </c>
      <c r="U235" s="657">
        <v>0</v>
      </c>
      <c r="V235" s="655">
        <v>2021</v>
      </c>
      <c r="W235" s="659"/>
      <c r="X235" s="660" t="str">
        <f t="shared" si="11"/>
        <v/>
      </c>
      <c r="Y235" s="661" t="str">
        <f t="shared" si="9"/>
        <v/>
      </c>
      <c r="Z235" s="661" t="str">
        <f t="shared" si="10"/>
        <v/>
      </c>
    </row>
    <row r="236" spans="1:26" s="128" customFormat="1" ht="25" hidden="1">
      <c r="A236" s="655">
        <v>2527</v>
      </c>
      <c r="B236" s="656" t="s">
        <v>33</v>
      </c>
      <c r="C236" s="655" t="s">
        <v>2793</v>
      </c>
      <c r="D236" s="656" t="s">
        <v>1577</v>
      </c>
      <c r="E236" s="656" t="s">
        <v>1578</v>
      </c>
      <c r="F236" s="655">
        <v>25</v>
      </c>
      <c r="G236" s="656" t="s">
        <v>57</v>
      </c>
      <c r="H236" s="656" t="s">
        <v>1182</v>
      </c>
      <c r="I236" s="656" t="s">
        <v>58</v>
      </c>
      <c r="J236" s="655">
        <v>22</v>
      </c>
      <c r="K236" s="655">
        <v>2</v>
      </c>
      <c r="L236" s="656" t="s">
        <v>52</v>
      </c>
      <c r="M236" s="656" t="s">
        <v>42</v>
      </c>
      <c r="N236" s="656" t="s">
        <v>46</v>
      </c>
      <c r="O236" s="656" t="s">
        <v>46</v>
      </c>
      <c r="P236" s="656" t="s">
        <v>47</v>
      </c>
      <c r="Q236" s="657">
        <v>0</v>
      </c>
      <c r="R236" s="657">
        <v>0</v>
      </c>
      <c r="S236" s="657">
        <v>0</v>
      </c>
      <c r="T236" s="657">
        <v>0</v>
      </c>
      <c r="U236" s="657">
        <v>0</v>
      </c>
      <c r="V236" s="655">
        <v>2021</v>
      </c>
      <c r="W236" s="659"/>
      <c r="X236" s="660" t="str">
        <f t="shared" si="11"/>
        <v/>
      </c>
      <c r="Y236" s="661" t="str">
        <f t="shared" si="9"/>
        <v/>
      </c>
      <c r="Z236" s="661" t="str">
        <f t="shared" si="10"/>
        <v/>
      </c>
    </row>
    <row r="237" spans="1:26" s="128" customFormat="1" ht="25" hidden="1">
      <c r="A237" s="655">
        <v>2527</v>
      </c>
      <c r="B237" s="656" t="s">
        <v>33</v>
      </c>
      <c r="C237" s="655" t="s">
        <v>2793</v>
      </c>
      <c r="D237" s="656" t="s">
        <v>1577</v>
      </c>
      <c r="E237" s="656" t="s">
        <v>1578</v>
      </c>
      <c r="F237" s="655">
        <v>25</v>
      </c>
      <c r="G237" s="656" t="s">
        <v>57</v>
      </c>
      <c r="H237" s="656" t="s">
        <v>1182</v>
      </c>
      <c r="I237" s="656" t="s">
        <v>58</v>
      </c>
      <c r="J237" s="655">
        <v>22</v>
      </c>
      <c r="K237" s="655">
        <v>2</v>
      </c>
      <c r="L237" s="656" t="s">
        <v>52</v>
      </c>
      <c r="M237" s="656" t="s">
        <v>42</v>
      </c>
      <c r="N237" s="656" t="s">
        <v>39</v>
      </c>
      <c r="O237" s="656" t="s">
        <v>39</v>
      </c>
      <c r="P237" s="656" t="s">
        <v>1037</v>
      </c>
      <c r="Q237" s="657">
        <v>4942453</v>
      </c>
      <c r="R237" s="657">
        <v>4942453</v>
      </c>
      <c r="S237" s="657">
        <v>5080841</v>
      </c>
      <c r="T237" s="657">
        <v>5080841</v>
      </c>
      <c r="U237" s="657">
        <v>447652</v>
      </c>
      <c r="V237" s="655">
        <v>2021</v>
      </c>
      <c r="W237" s="659"/>
      <c r="X237" s="660">
        <f t="shared" si="11"/>
        <v>11.349979448321465</v>
      </c>
      <c r="Y237" s="661" t="str">
        <f t="shared" si="9"/>
        <v/>
      </c>
      <c r="Z237" s="661" t="str">
        <f t="shared" si="10"/>
        <v/>
      </c>
    </row>
    <row r="238" spans="1:26" s="128" customFormat="1" ht="25" hidden="1">
      <c r="A238" s="655">
        <v>2527</v>
      </c>
      <c r="B238" s="656" t="s">
        <v>33</v>
      </c>
      <c r="C238" s="655" t="s">
        <v>2793</v>
      </c>
      <c r="D238" s="656" t="s">
        <v>1577</v>
      </c>
      <c r="E238" s="656" t="s">
        <v>1578</v>
      </c>
      <c r="F238" s="655">
        <v>25</v>
      </c>
      <c r="G238" s="656" t="s">
        <v>57</v>
      </c>
      <c r="H238" s="656" t="s">
        <v>1182</v>
      </c>
      <c r="I238" s="656" t="s">
        <v>58</v>
      </c>
      <c r="J238" s="655">
        <v>22</v>
      </c>
      <c r="K238" s="655">
        <v>2</v>
      </c>
      <c r="L238" s="656" t="s">
        <v>52</v>
      </c>
      <c r="M238" s="656" t="s">
        <v>42</v>
      </c>
      <c r="N238" s="656" t="s">
        <v>48</v>
      </c>
      <c r="O238" s="656" t="s">
        <v>44</v>
      </c>
      <c r="P238" s="656" t="s">
        <v>45</v>
      </c>
      <c r="Q238" s="657">
        <v>0</v>
      </c>
      <c r="R238" s="657">
        <v>0</v>
      </c>
      <c r="S238" s="657">
        <v>0</v>
      </c>
      <c r="T238" s="657">
        <v>0</v>
      </c>
      <c r="U238" s="657">
        <v>0</v>
      </c>
      <c r="V238" s="655">
        <v>2021</v>
      </c>
      <c r="W238" s="659"/>
      <c r="X238" s="660" t="str">
        <f t="shared" si="11"/>
        <v/>
      </c>
      <c r="Y238" s="661" t="str">
        <f t="shared" si="9"/>
        <v/>
      </c>
      <c r="Z238" s="661" t="str">
        <f t="shared" si="10"/>
        <v/>
      </c>
    </row>
    <row r="239" spans="1:26" s="128" customFormat="1" ht="25" hidden="1">
      <c r="A239" s="655">
        <v>2527</v>
      </c>
      <c r="B239" s="656" t="s">
        <v>33</v>
      </c>
      <c r="C239" s="655" t="s">
        <v>2793</v>
      </c>
      <c r="D239" s="656" t="s">
        <v>1577</v>
      </c>
      <c r="E239" s="656" t="s">
        <v>1578</v>
      </c>
      <c r="F239" s="655">
        <v>25</v>
      </c>
      <c r="G239" s="656" t="s">
        <v>57</v>
      </c>
      <c r="H239" s="656" t="s">
        <v>1182</v>
      </c>
      <c r="I239" s="656" t="s">
        <v>58</v>
      </c>
      <c r="J239" s="655">
        <v>22</v>
      </c>
      <c r="K239" s="655">
        <v>2</v>
      </c>
      <c r="L239" s="656" t="s">
        <v>52</v>
      </c>
      <c r="M239" s="656" t="s">
        <v>42</v>
      </c>
      <c r="N239" s="656" t="s">
        <v>69</v>
      </c>
      <c r="O239" s="656" t="s">
        <v>70</v>
      </c>
      <c r="P239" s="656" t="s">
        <v>45</v>
      </c>
      <c r="Q239" s="657">
        <v>0</v>
      </c>
      <c r="R239" s="657">
        <v>0</v>
      </c>
      <c r="S239" s="657">
        <v>0</v>
      </c>
      <c r="T239" s="657">
        <v>0</v>
      </c>
      <c r="U239" s="657">
        <v>0</v>
      </c>
      <c r="V239" s="655">
        <v>2021</v>
      </c>
      <c r="W239" s="659"/>
      <c r="X239" s="660" t="str">
        <f t="shared" si="11"/>
        <v/>
      </c>
      <c r="Y239" s="661" t="str">
        <f t="shared" si="9"/>
        <v/>
      </c>
      <c r="Z239" s="661" t="str">
        <f t="shared" si="10"/>
        <v/>
      </c>
    </row>
    <row r="240" spans="1:26" s="128" customFormat="1" ht="25" hidden="1">
      <c r="A240" s="655">
        <v>2528</v>
      </c>
      <c r="B240" s="656" t="s">
        <v>33</v>
      </c>
      <c r="C240" s="655" t="s">
        <v>2793</v>
      </c>
      <c r="D240" s="656" t="s">
        <v>1825</v>
      </c>
      <c r="E240" s="656" t="s">
        <v>577</v>
      </c>
      <c r="F240" s="655">
        <v>13511</v>
      </c>
      <c r="G240" s="656" t="s">
        <v>57</v>
      </c>
      <c r="H240" s="656" t="s">
        <v>1182</v>
      </c>
      <c r="I240" s="656" t="s">
        <v>58</v>
      </c>
      <c r="J240" s="655">
        <v>22</v>
      </c>
      <c r="K240" s="655">
        <v>1</v>
      </c>
      <c r="L240" s="656" t="s">
        <v>34</v>
      </c>
      <c r="M240" s="656" t="s">
        <v>51</v>
      </c>
      <c r="N240" s="656" t="s">
        <v>46</v>
      </c>
      <c r="O240" s="656" t="s">
        <v>46</v>
      </c>
      <c r="P240" s="656" t="s">
        <v>47</v>
      </c>
      <c r="Q240" s="657">
        <v>230</v>
      </c>
      <c r="R240" s="657">
        <v>230</v>
      </c>
      <c r="S240" s="657">
        <v>1308</v>
      </c>
      <c r="T240" s="657">
        <v>1308</v>
      </c>
      <c r="U240" s="657">
        <v>1</v>
      </c>
      <c r="V240" s="655">
        <v>2021</v>
      </c>
      <c r="W240" s="659"/>
      <c r="X240" s="660">
        <f t="shared" si="11"/>
        <v>1308</v>
      </c>
      <c r="Y240" s="661" t="str">
        <f t="shared" si="9"/>
        <v/>
      </c>
      <c r="Z240" s="661" t="str">
        <f t="shared" si="10"/>
        <v/>
      </c>
    </row>
    <row r="241" spans="1:26" s="128" customFormat="1" ht="25" hidden="1">
      <c r="A241" s="655">
        <v>2530</v>
      </c>
      <c r="B241" s="656" t="s">
        <v>33</v>
      </c>
      <c r="C241" s="655" t="s">
        <v>2793</v>
      </c>
      <c r="D241" s="656" t="s">
        <v>1579</v>
      </c>
      <c r="E241" s="656" t="s">
        <v>577</v>
      </c>
      <c r="F241" s="655">
        <v>13511</v>
      </c>
      <c r="G241" s="656" t="s">
        <v>57</v>
      </c>
      <c r="H241" s="656" t="s">
        <v>1182</v>
      </c>
      <c r="I241" s="656" t="s">
        <v>58</v>
      </c>
      <c r="J241" s="655">
        <v>22</v>
      </c>
      <c r="K241" s="655">
        <v>1</v>
      </c>
      <c r="L241" s="656" t="s">
        <v>34</v>
      </c>
      <c r="M241" s="656" t="s">
        <v>35</v>
      </c>
      <c r="N241" s="656" t="s">
        <v>36</v>
      </c>
      <c r="O241" s="656" t="s">
        <v>37</v>
      </c>
      <c r="P241" s="656" t="s">
        <v>1176</v>
      </c>
      <c r="Q241" s="657">
        <v>0</v>
      </c>
      <c r="R241" s="657">
        <v>0</v>
      </c>
      <c r="S241" s="657">
        <v>375766</v>
      </c>
      <c r="T241" s="657">
        <v>375766</v>
      </c>
      <c r="U241" s="657">
        <v>42493</v>
      </c>
      <c r="V241" s="655">
        <v>2021</v>
      </c>
      <c r="W241" s="659"/>
      <c r="X241" s="660">
        <f t="shared" si="11"/>
        <v>8.8430094368484227</v>
      </c>
      <c r="Y241" s="661" t="str">
        <f t="shared" si="9"/>
        <v/>
      </c>
      <c r="Z241" s="661" t="str">
        <f t="shared" si="10"/>
        <v/>
      </c>
    </row>
    <row r="242" spans="1:26" s="128" customFormat="1" ht="25" hidden="1">
      <c r="A242" s="655">
        <v>2532</v>
      </c>
      <c r="B242" s="656" t="s">
        <v>33</v>
      </c>
      <c r="C242" s="655" t="s">
        <v>2793</v>
      </c>
      <c r="D242" s="656" t="s">
        <v>634</v>
      </c>
      <c r="E242" s="656" t="s">
        <v>577</v>
      </c>
      <c r="F242" s="655">
        <v>13511</v>
      </c>
      <c r="G242" s="656" t="s">
        <v>57</v>
      </c>
      <c r="H242" s="656" t="s">
        <v>1182</v>
      </c>
      <c r="I242" s="656" t="s">
        <v>58</v>
      </c>
      <c r="J242" s="655">
        <v>22</v>
      </c>
      <c r="K242" s="655">
        <v>1</v>
      </c>
      <c r="L242" s="656" t="s">
        <v>34</v>
      </c>
      <c r="M242" s="656" t="s">
        <v>35</v>
      </c>
      <c r="N242" s="656" t="s">
        <v>36</v>
      </c>
      <c r="O242" s="656" t="s">
        <v>37</v>
      </c>
      <c r="P242" s="656" t="s">
        <v>1176</v>
      </c>
      <c r="Q242" s="657">
        <v>0</v>
      </c>
      <c r="R242" s="657">
        <v>0</v>
      </c>
      <c r="S242" s="657">
        <v>0</v>
      </c>
      <c r="T242" s="657">
        <v>0</v>
      </c>
      <c r="U242" s="657">
        <v>0</v>
      </c>
      <c r="V242" s="655">
        <v>2021</v>
      </c>
      <c r="W242" s="659"/>
      <c r="X242" s="660" t="str">
        <f t="shared" si="11"/>
        <v/>
      </c>
      <c r="Y242" s="661" t="str">
        <f t="shared" si="9"/>
        <v/>
      </c>
      <c r="Z242" s="661" t="str">
        <f t="shared" si="10"/>
        <v/>
      </c>
    </row>
    <row r="243" spans="1:26" s="128" customFormat="1" hidden="1">
      <c r="A243" s="655">
        <v>2539</v>
      </c>
      <c r="B243" s="656" t="s">
        <v>33</v>
      </c>
      <c r="C243" s="655" t="s">
        <v>2793</v>
      </c>
      <c r="D243" s="656" t="s">
        <v>117</v>
      </c>
      <c r="E243" s="656" t="s">
        <v>118</v>
      </c>
      <c r="F243" s="655">
        <v>14294</v>
      </c>
      <c r="G243" s="656" t="s">
        <v>57</v>
      </c>
      <c r="H243" s="656" t="s">
        <v>1182</v>
      </c>
      <c r="I243" s="656" t="s">
        <v>58</v>
      </c>
      <c r="J243" s="655">
        <v>22</v>
      </c>
      <c r="K243" s="655">
        <v>2</v>
      </c>
      <c r="L243" s="656" t="s">
        <v>52</v>
      </c>
      <c r="M243" s="656" t="s">
        <v>38</v>
      </c>
      <c r="N243" s="656" t="s">
        <v>76</v>
      </c>
      <c r="O243" s="656" t="s">
        <v>67</v>
      </c>
      <c r="P243" s="656" t="s">
        <v>47</v>
      </c>
      <c r="Q243" s="657">
        <v>0</v>
      </c>
      <c r="R243" s="657">
        <v>0</v>
      </c>
      <c r="S243" s="657">
        <v>0</v>
      </c>
      <c r="T243" s="657">
        <v>0</v>
      </c>
      <c r="U243" s="657">
        <v>0</v>
      </c>
      <c r="V243" s="655">
        <v>2021</v>
      </c>
      <c r="W243" s="659" t="s">
        <v>3675</v>
      </c>
      <c r="X243" s="660" t="str">
        <f t="shared" si="11"/>
        <v/>
      </c>
      <c r="Y243" s="661" t="str">
        <f t="shared" si="9"/>
        <v/>
      </c>
      <c r="Z243" s="661" t="str">
        <f t="shared" si="10"/>
        <v/>
      </c>
    </row>
    <row r="244" spans="1:26" s="128" customFormat="1" hidden="1">
      <c r="A244" s="655">
        <v>2539</v>
      </c>
      <c r="B244" s="656" t="s">
        <v>33</v>
      </c>
      <c r="C244" s="655" t="s">
        <v>2793</v>
      </c>
      <c r="D244" s="656" t="s">
        <v>117</v>
      </c>
      <c r="E244" s="656" t="s">
        <v>118</v>
      </c>
      <c r="F244" s="655">
        <v>14294</v>
      </c>
      <c r="G244" s="656" t="s">
        <v>57</v>
      </c>
      <c r="H244" s="656" t="s">
        <v>1182</v>
      </c>
      <c r="I244" s="656" t="s">
        <v>58</v>
      </c>
      <c r="J244" s="655">
        <v>22</v>
      </c>
      <c r="K244" s="655">
        <v>2</v>
      </c>
      <c r="L244" s="656" t="s">
        <v>52</v>
      </c>
      <c r="M244" s="656" t="s">
        <v>38</v>
      </c>
      <c r="N244" s="656" t="s">
        <v>39</v>
      </c>
      <c r="O244" s="656" t="s">
        <v>39</v>
      </c>
      <c r="P244" s="656" t="s">
        <v>1037</v>
      </c>
      <c r="Q244" s="657">
        <v>33147</v>
      </c>
      <c r="R244" s="657">
        <v>33147</v>
      </c>
      <c r="S244" s="657">
        <v>34134</v>
      </c>
      <c r="T244" s="657">
        <v>34134</v>
      </c>
      <c r="U244" s="657">
        <v>1762154</v>
      </c>
      <c r="V244" s="655">
        <v>2021</v>
      </c>
      <c r="W244" s="659" t="s">
        <v>3675</v>
      </c>
      <c r="X244" s="660">
        <f t="shared" si="11"/>
        <v>1.9370611195162285E-2</v>
      </c>
      <c r="Y244" s="661" t="str">
        <f t="shared" si="9"/>
        <v/>
      </c>
      <c r="Z244" s="661" t="str">
        <f t="shared" si="10"/>
        <v/>
      </c>
    </row>
    <row r="245" spans="1:26" s="128" customFormat="1" hidden="1">
      <c r="A245" s="655">
        <v>2539</v>
      </c>
      <c r="B245" s="656" t="s">
        <v>33</v>
      </c>
      <c r="C245" s="655" t="s">
        <v>2793</v>
      </c>
      <c r="D245" s="656" t="s">
        <v>117</v>
      </c>
      <c r="E245" s="656" t="s">
        <v>118</v>
      </c>
      <c r="F245" s="655">
        <v>14294</v>
      </c>
      <c r="G245" s="656" t="s">
        <v>57</v>
      </c>
      <c r="H245" s="656" t="s">
        <v>1182</v>
      </c>
      <c r="I245" s="656" t="s">
        <v>58</v>
      </c>
      <c r="J245" s="655">
        <v>22</v>
      </c>
      <c r="K245" s="655">
        <v>2</v>
      </c>
      <c r="L245" s="656" t="s">
        <v>52</v>
      </c>
      <c r="M245" s="656" t="s">
        <v>41</v>
      </c>
      <c r="N245" s="656" t="s">
        <v>76</v>
      </c>
      <c r="O245" s="656" t="s">
        <v>67</v>
      </c>
      <c r="P245" s="656" t="s">
        <v>47</v>
      </c>
      <c r="Q245" s="657">
        <v>0</v>
      </c>
      <c r="R245" s="657">
        <v>0</v>
      </c>
      <c r="S245" s="657">
        <v>0</v>
      </c>
      <c r="T245" s="657">
        <v>0</v>
      </c>
      <c r="U245" s="657">
        <v>0</v>
      </c>
      <c r="V245" s="655">
        <v>2021</v>
      </c>
      <c r="W245" s="659" t="s">
        <v>3675</v>
      </c>
      <c r="X245" s="660" t="str">
        <f t="shared" si="11"/>
        <v/>
      </c>
      <c r="Y245" s="661" t="str">
        <f t="shared" si="9"/>
        <v/>
      </c>
      <c r="Z245" s="661" t="str">
        <f t="shared" si="10"/>
        <v/>
      </c>
    </row>
    <row r="246" spans="1:26" s="128" customFormat="1" hidden="1">
      <c r="A246" s="655">
        <v>2539</v>
      </c>
      <c r="B246" s="656" t="s">
        <v>33</v>
      </c>
      <c r="C246" s="655" t="s">
        <v>2793</v>
      </c>
      <c r="D246" s="656" t="s">
        <v>117</v>
      </c>
      <c r="E246" s="656" t="s">
        <v>118</v>
      </c>
      <c r="F246" s="655">
        <v>14294</v>
      </c>
      <c r="G246" s="656" t="s">
        <v>57</v>
      </c>
      <c r="H246" s="656" t="s">
        <v>1182</v>
      </c>
      <c r="I246" s="656" t="s">
        <v>58</v>
      </c>
      <c r="J246" s="655">
        <v>22</v>
      </c>
      <c r="K246" s="655">
        <v>2</v>
      </c>
      <c r="L246" s="656" t="s">
        <v>52</v>
      </c>
      <c r="M246" s="656" t="s">
        <v>41</v>
      </c>
      <c r="N246" s="656" t="s">
        <v>39</v>
      </c>
      <c r="O246" s="656" t="s">
        <v>39</v>
      </c>
      <c r="P246" s="656" t="s">
        <v>1037</v>
      </c>
      <c r="Q246" s="657">
        <v>35837872</v>
      </c>
      <c r="R246" s="657">
        <v>35837872</v>
      </c>
      <c r="S246" s="657">
        <v>36924269</v>
      </c>
      <c r="T246" s="657">
        <v>36924269</v>
      </c>
      <c r="U246" s="657">
        <v>3543144</v>
      </c>
      <c r="V246" s="655">
        <v>2021</v>
      </c>
      <c r="W246" s="659" t="s">
        <v>3675</v>
      </c>
      <c r="X246" s="660">
        <f t="shared" si="11"/>
        <v>10.421328910143082</v>
      </c>
      <c r="Y246" s="661" t="str">
        <f t="shared" si="9"/>
        <v/>
      </c>
      <c r="Z246" s="661" t="str">
        <f t="shared" si="10"/>
        <v/>
      </c>
    </row>
    <row r="247" spans="1:26" s="128" customFormat="1" ht="25" hidden="1">
      <c r="A247" s="655">
        <v>2540</v>
      </c>
      <c r="B247" s="656" t="s">
        <v>33</v>
      </c>
      <c r="C247" s="655" t="s">
        <v>2793</v>
      </c>
      <c r="D247" s="656" t="s">
        <v>635</v>
      </c>
      <c r="E247" s="656" t="s">
        <v>119</v>
      </c>
      <c r="F247" s="655">
        <v>5914</v>
      </c>
      <c r="G247" s="656" t="s">
        <v>57</v>
      </c>
      <c r="H247" s="656" t="s">
        <v>1182</v>
      </c>
      <c r="I247" s="656" t="s">
        <v>58</v>
      </c>
      <c r="J247" s="655">
        <v>22</v>
      </c>
      <c r="K247" s="655">
        <v>2</v>
      </c>
      <c r="L247" s="656" t="s">
        <v>52</v>
      </c>
      <c r="M247" s="656" t="s">
        <v>35</v>
      </c>
      <c r="N247" s="656" t="s">
        <v>36</v>
      </c>
      <c r="O247" s="656" t="s">
        <v>37</v>
      </c>
      <c r="P247" s="656" t="s">
        <v>1176</v>
      </c>
      <c r="Q247" s="657">
        <v>0</v>
      </c>
      <c r="R247" s="657">
        <v>0</v>
      </c>
      <c r="S247" s="657">
        <v>190797</v>
      </c>
      <c r="T247" s="657">
        <v>190797</v>
      </c>
      <c r="U247" s="657">
        <v>21576</v>
      </c>
      <c r="V247" s="655">
        <v>2021</v>
      </c>
      <c r="W247" s="659"/>
      <c r="X247" s="660">
        <f t="shared" si="11"/>
        <v>8.8430200222469413</v>
      </c>
      <c r="Y247" s="661" t="str">
        <f t="shared" si="9"/>
        <v/>
      </c>
      <c r="Z247" s="661" t="str">
        <f t="shared" si="10"/>
        <v/>
      </c>
    </row>
    <row r="248" spans="1:26" s="128" customFormat="1" ht="25" hidden="1">
      <c r="A248" s="655">
        <v>2543</v>
      </c>
      <c r="B248" s="656" t="s">
        <v>33</v>
      </c>
      <c r="C248" s="655" t="s">
        <v>2793</v>
      </c>
      <c r="D248" s="656" t="s">
        <v>636</v>
      </c>
      <c r="E248" s="656" t="s">
        <v>119</v>
      </c>
      <c r="F248" s="655">
        <v>5914</v>
      </c>
      <c r="G248" s="656" t="s">
        <v>57</v>
      </c>
      <c r="H248" s="656" t="s">
        <v>1182</v>
      </c>
      <c r="I248" s="656" t="s">
        <v>58</v>
      </c>
      <c r="J248" s="655">
        <v>22</v>
      </c>
      <c r="K248" s="655">
        <v>2</v>
      </c>
      <c r="L248" s="656" t="s">
        <v>52</v>
      </c>
      <c r="M248" s="656" t="s">
        <v>35</v>
      </c>
      <c r="N248" s="656" t="s">
        <v>36</v>
      </c>
      <c r="O248" s="656" t="s">
        <v>37</v>
      </c>
      <c r="P248" s="656" t="s">
        <v>1176</v>
      </c>
      <c r="Q248" s="657">
        <v>0</v>
      </c>
      <c r="R248" s="657">
        <v>0</v>
      </c>
      <c r="S248" s="657">
        <v>453001</v>
      </c>
      <c r="T248" s="657">
        <v>453001</v>
      </c>
      <c r="U248" s="657">
        <v>51227</v>
      </c>
      <c r="V248" s="655">
        <v>2021</v>
      </c>
      <c r="W248" s="659"/>
      <c r="X248" s="660">
        <f t="shared" si="11"/>
        <v>8.8430124738907221</v>
      </c>
      <c r="Y248" s="661" t="str">
        <f t="shared" si="9"/>
        <v/>
      </c>
      <c r="Z248" s="661" t="str">
        <f t="shared" si="10"/>
        <v/>
      </c>
    </row>
    <row r="249" spans="1:26" s="128" customFormat="1" ht="25" hidden="1">
      <c r="A249" s="655">
        <v>2544</v>
      </c>
      <c r="B249" s="656" t="s">
        <v>33</v>
      </c>
      <c r="C249" s="655" t="s">
        <v>2793</v>
      </c>
      <c r="D249" s="656" t="s">
        <v>637</v>
      </c>
      <c r="E249" s="656" t="s">
        <v>119</v>
      </c>
      <c r="F249" s="655">
        <v>5914</v>
      </c>
      <c r="G249" s="656" t="s">
        <v>57</v>
      </c>
      <c r="H249" s="656" t="s">
        <v>1182</v>
      </c>
      <c r="I249" s="656" t="s">
        <v>58</v>
      </c>
      <c r="J249" s="655">
        <v>22</v>
      </c>
      <c r="K249" s="655">
        <v>2</v>
      </c>
      <c r="L249" s="656" t="s">
        <v>52</v>
      </c>
      <c r="M249" s="656" t="s">
        <v>35</v>
      </c>
      <c r="N249" s="656" t="s">
        <v>36</v>
      </c>
      <c r="O249" s="656" t="s">
        <v>37</v>
      </c>
      <c r="P249" s="656" t="s">
        <v>1176</v>
      </c>
      <c r="Q249" s="657">
        <v>0</v>
      </c>
      <c r="R249" s="657">
        <v>0</v>
      </c>
      <c r="S249" s="657">
        <v>92243</v>
      </c>
      <c r="T249" s="657">
        <v>92243</v>
      </c>
      <c r="U249" s="657">
        <v>10431</v>
      </c>
      <c r="V249" s="655">
        <v>2021</v>
      </c>
      <c r="W249" s="659"/>
      <c r="X249" s="660">
        <f t="shared" si="11"/>
        <v>8.843159812098552</v>
      </c>
      <c r="Y249" s="661" t="str">
        <f t="shared" si="9"/>
        <v/>
      </c>
      <c r="Z249" s="661" t="str">
        <f t="shared" si="10"/>
        <v/>
      </c>
    </row>
    <row r="250" spans="1:26" s="128" customFormat="1" ht="25" hidden="1">
      <c r="A250" s="655">
        <v>2545</v>
      </c>
      <c r="B250" s="656" t="s">
        <v>33</v>
      </c>
      <c r="C250" s="655" t="s">
        <v>2793</v>
      </c>
      <c r="D250" s="656" t="s">
        <v>638</v>
      </c>
      <c r="E250" s="656" t="s">
        <v>119</v>
      </c>
      <c r="F250" s="655">
        <v>5914</v>
      </c>
      <c r="G250" s="656" t="s">
        <v>57</v>
      </c>
      <c r="H250" s="656" t="s">
        <v>1182</v>
      </c>
      <c r="I250" s="656" t="s">
        <v>58</v>
      </c>
      <c r="J250" s="655">
        <v>22</v>
      </c>
      <c r="K250" s="655">
        <v>2</v>
      </c>
      <c r="L250" s="656" t="s">
        <v>52</v>
      </c>
      <c r="M250" s="656" t="s">
        <v>35</v>
      </c>
      <c r="N250" s="656" t="s">
        <v>36</v>
      </c>
      <c r="O250" s="656" t="s">
        <v>37</v>
      </c>
      <c r="P250" s="656" t="s">
        <v>1176</v>
      </c>
      <c r="Q250" s="657">
        <v>0</v>
      </c>
      <c r="R250" s="657">
        <v>0</v>
      </c>
      <c r="S250" s="657">
        <v>749894</v>
      </c>
      <c r="T250" s="657">
        <v>749894</v>
      </c>
      <c r="U250" s="657">
        <v>84801</v>
      </c>
      <c r="V250" s="655">
        <v>2021</v>
      </c>
      <c r="W250" s="659"/>
      <c r="X250" s="660">
        <f t="shared" si="11"/>
        <v>8.8429853421539839</v>
      </c>
      <c r="Y250" s="661" t="str">
        <f t="shared" si="9"/>
        <v/>
      </c>
      <c r="Z250" s="661" t="str">
        <f t="shared" si="10"/>
        <v/>
      </c>
    </row>
    <row r="251" spans="1:26" s="128" customFormat="1" ht="25" hidden="1">
      <c r="A251" s="655">
        <v>2546</v>
      </c>
      <c r="B251" s="656" t="s">
        <v>33</v>
      </c>
      <c r="C251" s="655" t="s">
        <v>2793</v>
      </c>
      <c r="D251" s="656" t="s">
        <v>639</v>
      </c>
      <c r="E251" s="656" t="s">
        <v>119</v>
      </c>
      <c r="F251" s="655">
        <v>5914</v>
      </c>
      <c r="G251" s="656" t="s">
        <v>57</v>
      </c>
      <c r="H251" s="656" t="s">
        <v>1182</v>
      </c>
      <c r="I251" s="656" t="s">
        <v>58</v>
      </c>
      <c r="J251" s="655">
        <v>22</v>
      </c>
      <c r="K251" s="655">
        <v>2</v>
      </c>
      <c r="L251" s="656" t="s">
        <v>52</v>
      </c>
      <c r="M251" s="656" t="s">
        <v>35</v>
      </c>
      <c r="N251" s="656" t="s">
        <v>36</v>
      </c>
      <c r="O251" s="656" t="s">
        <v>37</v>
      </c>
      <c r="P251" s="656" t="s">
        <v>1176</v>
      </c>
      <c r="Q251" s="657">
        <v>0</v>
      </c>
      <c r="R251" s="657">
        <v>0</v>
      </c>
      <c r="S251" s="657">
        <v>294066</v>
      </c>
      <c r="T251" s="657">
        <v>294066</v>
      </c>
      <c r="U251" s="657">
        <v>33254</v>
      </c>
      <c r="V251" s="655">
        <v>2021</v>
      </c>
      <c r="W251" s="659"/>
      <c r="X251" s="660">
        <f t="shared" si="11"/>
        <v>8.8430264028387562</v>
      </c>
      <c r="Y251" s="661" t="str">
        <f t="shared" si="9"/>
        <v/>
      </c>
      <c r="Z251" s="661" t="str">
        <f t="shared" si="10"/>
        <v/>
      </c>
    </row>
    <row r="252" spans="1:26" s="128" customFormat="1" ht="25" hidden="1">
      <c r="A252" s="655">
        <v>2547</v>
      </c>
      <c r="B252" s="656" t="s">
        <v>33</v>
      </c>
      <c r="C252" s="655" t="s">
        <v>2793</v>
      </c>
      <c r="D252" s="656" t="s">
        <v>640</v>
      </c>
      <c r="E252" s="656" t="s">
        <v>119</v>
      </c>
      <c r="F252" s="655">
        <v>5914</v>
      </c>
      <c r="G252" s="656" t="s">
        <v>57</v>
      </c>
      <c r="H252" s="656" t="s">
        <v>1182</v>
      </c>
      <c r="I252" s="656" t="s">
        <v>58</v>
      </c>
      <c r="J252" s="655">
        <v>22</v>
      </c>
      <c r="K252" s="655">
        <v>2</v>
      </c>
      <c r="L252" s="656" t="s">
        <v>52</v>
      </c>
      <c r="M252" s="656" t="s">
        <v>35</v>
      </c>
      <c r="N252" s="656" t="s">
        <v>36</v>
      </c>
      <c r="O252" s="656" t="s">
        <v>37</v>
      </c>
      <c r="P252" s="656" t="s">
        <v>1176</v>
      </c>
      <c r="Q252" s="657">
        <v>0</v>
      </c>
      <c r="R252" s="657">
        <v>0</v>
      </c>
      <c r="S252" s="657">
        <v>501946</v>
      </c>
      <c r="T252" s="657">
        <v>501946</v>
      </c>
      <c r="U252" s="657">
        <v>56762</v>
      </c>
      <c r="V252" s="655">
        <v>2021</v>
      </c>
      <c r="W252" s="659"/>
      <c r="X252" s="660">
        <f t="shared" si="11"/>
        <v>8.8429935520242413</v>
      </c>
      <c r="Y252" s="661" t="str">
        <f t="shared" si="9"/>
        <v/>
      </c>
      <c r="Z252" s="661" t="str">
        <f t="shared" si="10"/>
        <v/>
      </c>
    </row>
    <row r="253" spans="1:26" s="128" customFormat="1" ht="25" hidden="1">
      <c r="A253" s="655">
        <v>2548</v>
      </c>
      <c r="B253" s="656" t="s">
        <v>33</v>
      </c>
      <c r="C253" s="655" t="s">
        <v>2793</v>
      </c>
      <c r="D253" s="656" t="s">
        <v>641</v>
      </c>
      <c r="E253" s="656" t="s">
        <v>119</v>
      </c>
      <c r="F253" s="655">
        <v>5914</v>
      </c>
      <c r="G253" s="656" t="s">
        <v>57</v>
      </c>
      <c r="H253" s="656" t="s">
        <v>1182</v>
      </c>
      <c r="I253" s="656" t="s">
        <v>58</v>
      </c>
      <c r="J253" s="655">
        <v>22</v>
      </c>
      <c r="K253" s="655">
        <v>2</v>
      </c>
      <c r="L253" s="656" t="s">
        <v>52</v>
      </c>
      <c r="M253" s="656" t="s">
        <v>35</v>
      </c>
      <c r="N253" s="656" t="s">
        <v>36</v>
      </c>
      <c r="O253" s="656" t="s">
        <v>37</v>
      </c>
      <c r="P253" s="656" t="s">
        <v>1176</v>
      </c>
      <c r="Q253" s="657">
        <v>0</v>
      </c>
      <c r="R253" s="657">
        <v>0</v>
      </c>
      <c r="S253" s="657">
        <v>374423</v>
      </c>
      <c r="T253" s="657">
        <v>374423</v>
      </c>
      <c r="U253" s="657">
        <v>42341</v>
      </c>
      <c r="V253" s="655">
        <v>2021</v>
      </c>
      <c r="W253" s="659"/>
      <c r="X253" s="660">
        <f t="shared" si="11"/>
        <v>8.8430363005125052</v>
      </c>
      <c r="Y253" s="661" t="str">
        <f t="shared" si="9"/>
        <v/>
      </c>
      <c r="Z253" s="661" t="str">
        <f t="shared" si="10"/>
        <v/>
      </c>
    </row>
    <row r="254" spans="1:26" s="128" customFormat="1" ht="25" hidden="1">
      <c r="A254" s="655">
        <v>2550</v>
      </c>
      <c r="B254" s="656" t="s">
        <v>33</v>
      </c>
      <c r="C254" s="655" t="s">
        <v>2793</v>
      </c>
      <c r="D254" s="656" t="s">
        <v>642</v>
      </c>
      <c r="E254" s="656" t="s">
        <v>119</v>
      </c>
      <c r="F254" s="655">
        <v>5914</v>
      </c>
      <c r="G254" s="656" t="s">
        <v>57</v>
      </c>
      <c r="H254" s="656" t="s">
        <v>1182</v>
      </c>
      <c r="I254" s="656" t="s">
        <v>58</v>
      </c>
      <c r="J254" s="655">
        <v>22</v>
      </c>
      <c r="K254" s="655">
        <v>2</v>
      </c>
      <c r="L254" s="656" t="s">
        <v>52</v>
      </c>
      <c r="M254" s="656" t="s">
        <v>35</v>
      </c>
      <c r="N254" s="656" t="s">
        <v>36</v>
      </c>
      <c r="O254" s="656" t="s">
        <v>37</v>
      </c>
      <c r="P254" s="656" t="s">
        <v>1176</v>
      </c>
      <c r="Q254" s="657">
        <v>0</v>
      </c>
      <c r="R254" s="657">
        <v>0</v>
      </c>
      <c r="S254" s="657">
        <v>153258</v>
      </c>
      <c r="T254" s="657">
        <v>153258</v>
      </c>
      <c r="U254" s="657">
        <v>17331</v>
      </c>
      <c r="V254" s="655">
        <v>2021</v>
      </c>
      <c r="W254" s="659"/>
      <c r="X254" s="660">
        <f t="shared" si="11"/>
        <v>8.8429980958975243</v>
      </c>
      <c r="Y254" s="661" t="str">
        <f t="shared" si="9"/>
        <v/>
      </c>
      <c r="Z254" s="661" t="str">
        <f t="shared" si="10"/>
        <v/>
      </c>
    </row>
    <row r="255" spans="1:26" s="128" customFormat="1" ht="25" hidden="1">
      <c r="A255" s="655">
        <v>2551</v>
      </c>
      <c r="B255" s="656" t="s">
        <v>33</v>
      </c>
      <c r="C255" s="655" t="s">
        <v>2793</v>
      </c>
      <c r="D255" s="656" t="s">
        <v>643</v>
      </c>
      <c r="E255" s="656" t="s">
        <v>119</v>
      </c>
      <c r="F255" s="655">
        <v>5914</v>
      </c>
      <c r="G255" s="656" t="s">
        <v>57</v>
      </c>
      <c r="H255" s="656" t="s">
        <v>1182</v>
      </c>
      <c r="I255" s="656" t="s">
        <v>58</v>
      </c>
      <c r="J255" s="655">
        <v>22</v>
      </c>
      <c r="K255" s="655">
        <v>2</v>
      </c>
      <c r="L255" s="656" t="s">
        <v>52</v>
      </c>
      <c r="M255" s="656" t="s">
        <v>35</v>
      </c>
      <c r="N255" s="656" t="s">
        <v>36</v>
      </c>
      <c r="O255" s="656" t="s">
        <v>37</v>
      </c>
      <c r="P255" s="656" t="s">
        <v>1176</v>
      </c>
      <c r="Q255" s="657">
        <v>0</v>
      </c>
      <c r="R255" s="657">
        <v>0</v>
      </c>
      <c r="S255" s="657">
        <v>1652944</v>
      </c>
      <c r="T255" s="657">
        <v>1652944</v>
      </c>
      <c r="U255" s="657">
        <v>186921</v>
      </c>
      <c r="V255" s="655">
        <v>2021</v>
      </c>
      <c r="W255" s="659"/>
      <c r="X255" s="660">
        <f t="shared" si="11"/>
        <v>8.8430085437163299</v>
      </c>
      <c r="Y255" s="661" t="str">
        <f t="shared" si="9"/>
        <v/>
      </c>
      <c r="Z255" s="661" t="str">
        <f t="shared" si="10"/>
        <v/>
      </c>
    </row>
    <row r="256" spans="1:26" s="128" customFormat="1" ht="25" hidden="1">
      <c r="A256" s="655">
        <v>2552</v>
      </c>
      <c r="B256" s="656" t="s">
        <v>33</v>
      </c>
      <c r="C256" s="655" t="s">
        <v>2793</v>
      </c>
      <c r="D256" s="656" t="s">
        <v>644</v>
      </c>
      <c r="E256" s="656" t="s">
        <v>119</v>
      </c>
      <c r="F256" s="655">
        <v>5914</v>
      </c>
      <c r="G256" s="656" t="s">
        <v>57</v>
      </c>
      <c r="H256" s="656" t="s">
        <v>1182</v>
      </c>
      <c r="I256" s="656" t="s">
        <v>58</v>
      </c>
      <c r="J256" s="655">
        <v>22</v>
      </c>
      <c r="K256" s="655">
        <v>2</v>
      </c>
      <c r="L256" s="656" t="s">
        <v>52</v>
      </c>
      <c r="M256" s="656" t="s">
        <v>35</v>
      </c>
      <c r="N256" s="656" t="s">
        <v>36</v>
      </c>
      <c r="O256" s="656" t="s">
        <v>37</v>
      </c>
      <c r="P256" s="656" t="s">
        <v>1176</v>
      </c>
      <c r="Q256" s="657">
        <v>0</v>
      </c>
      <c r="R256" s="657">
        <v>0</v>
      </c>
      <c r="S256" s="657">
        <v>461780</v>
      </c>
      <c r="T256" s="657">
        <v>461780</v>
      </c>
      <c r="U256" s="657">
        <v>52220</v>
      </c>
      <c r="V256" s="655">
        <v>2021</v>
      </c>
      <c r="W256" s="659"/>
      <c r="X256" s="660">
        <f t="shared" si="11"/>
        <v>8.8429720413634616</v>
      </c>
      <c r="Y256" s="661" t="str">
        <f t="shared" si="9"/>
        <v/>
      </c>
      <c r="Z256" s="661" t="str">
        <f t="shared" si="10"/>
        <v/>
      </c>
    </row>
    <row r="257" spans="1:26" s="128" customFormat="1" ht="25" hidden="1">
      <c r="A257" s="655">
        <v>2555</v>
      </c>
      <c r="B257" s="656" t="s">
        <v>33</v>
      </c>
      <c r="C257" s="655" t="s">
        <v>2793</v>
      </c>
      <c r="D257" s="656" t="s">
        <v>645</v>
      </c>
      <c r="E257" s="656" t="s">
        <v>119</v>
      </c>
      <c r="F257" s="655">
        <v>5914</v>
      </c>
      <c r="G257" s="656" t="s">
        <v>57</v>
      </c>
      <c r="H257" s="656" t="s">
        <v>1182</v>
      </c>
      <c r="I257" s="656" t="s">
        <v>58</v>
      </c>
      <c r="J257" s="655">
        <v>22</v>
      </c>
      <c r="K257" s="655">
        <v>2</v>
      </c>
      <c r="L257" s="656" t="s">
        <v>52</v>
      </c>
      <c r="M257" s="656" t="s">
        <v>35</v>
      </c>
      <c r="N257" s="656" t="s">
        <v>36</v>
      </c>
      <c r="O257" s="656" t="s">
        <v>37</v>
      </c>
      <c r="P257" s="656" t="s">
        <v>1176</v>
      </c>
      <c r="Q257" s="657">
        <v>0</v>
      </c>
      <c r="R257" s="657">
        <v>0</v>
      </c>
      <c r="S257" s="657">
        <v>266103</v>
      </c>
      <c r="T257" s="657">
        <v>266103</v>
      </c>
      <c r="U257" s="657">
        <v>30092</v>
      </c>
      <c r="V257" s="655">
        <v>2021</v>
      </c>
      <c r="W257" s="659"/>
      <c r="X257" s="660">
        <f t="shared" si="11"/>
        <v>8.8429815233284597</v>
      </c>
      <c r="Y257" s="661" t="str">
        <f t="shared" si="9"/>
        <v/>
      </c>
      <c r="Z257" s="661" t="str">
        <f t="shared" si="10"/>
        <v/>
      </c>
    </row>
    <row r="258" spans="1:26" s="128" customFormat="1" ht="25" hidden="1">
      <c r="A258" s="655">
        <v>2556</v>
      </c>
      <c r="B258" s="656" t="s">
        <v>33</v>
      </c>
      <c r="C258" s="655" t="s">
        <v>2793</v>
      </c>
      <c r="D258" s="656" t="s">
        <v>646</v>
      </c>
      <c r="E258" s="656" t="s">
        <v>119</v>
      </c>
      <c r="F258" s="655">
        <v>5914</v>
      </c>
      <c r="G258" s="656" t="s">
        <v>57</v>
      </c>
      <c r="H258" s="656" t="s">
        <v>1182</v>
      </c>
      <c r="I258" s="656" t="s">
        <v>58</v>
      </c>
      <c r="J258" s="655">
        <v>22</v>
      </c>
      <c r="K258" s="655">
        <v>2</v>
      </c>
      <c r="L258" s="656" t="s">
        <v>52</v>
      </c>
      <c r="M258" s="656" t="s">
        <v>35</v>
      </c>
      <c r="N258" s="656" t="s">
        <v>36</v>
      </c>
      <c r="O258" s="656" t="s">
        <v>37</v>
      </c>
      <c r="P258" s="656" t="s">
        <v>1176</v>
      </c>
      <c r="Q258" s="657">
        <v>0</v>
      </c>
      <c r="R258" s="657">
        <v>0</v>
      </c>
      <c r="S258" s="657">
        <v>69374</v>
      </c>
      <c r="T258" s="657">
        <v>69374</v>
      </c>
      <c r="U258" s="657">
        <v>7845</v>
      </c>
      <c r="V258" s="655">
        <v>2021</v>
      </c>
      <c r="W258" s="659"/>
      <c r="X258" s="660">
        <f t="shared" si="11"/>
        <v>8.8430847673677508</v>
      </c>
      <c r="Y258" s="661" t="str">
        <f t="shared" si="9"/>
        <v/>
      </c>
      <c r="Z258" s="661" t="str">
        <f t="shared" si="10"/>
        <v/>
      </c>
    </row>
    <row r="259" spans="1:26" s="128" customFormat="1" ht="25" hidden="1">
      <c r="A259" s="655">
        <v>2557</v>
      </c>
      <c r="B259" s="656" t="s">
        <v>33</v>
      </c>
      <c r="C259" s="655" t="s">
        <v>2793</v>
      </c>
      <c r="D259" s="656" t="s">
        <v>647</v>
      </c>
      <c r="E259" s="656" t="s">
        <v>119</v>
      </c>
      <c r="F259" s="655">
        <v>5914</v>
      </c>
      <c r="G259" s="656" t="s">
        <v>57</v>
      </c>
      <c r="H259" s="656" t="s">
        <v>1182</v>
      </c>
      <c r="I259" s="656" t="s">
        <v>58</v>
      </c>
      <c r="J259" s="655">
        <v>22</v>
      </c>
      <c r="K259" s="655">
        <v>2</v>
      </c>
      <c r="L259" s="656" t="s">
        <v>52</v>
      </c>
      <c r="M259" s="656" t="s">
        <v>35</v>
      </c>
      <c r="N259" s="656" t="s">
        <v>36</v>
      </c>
      <c r="O259" s="656" t="s">
        <v>37</v>
      </c>
      <c r="P259" s="656" t="s">
        <v>1176</v>
      </c>
      <c r="Q259" s="657">
        <v>0</v>
      </c>
      <c r="R259" s="657">
        <v>0</v>
      </c>
      <c r="S259" s="657">
        <v>121528</v>
      </c>
      <c r="T259" s="657">
        <v>121528</v>
      </c>
      <c r="U259" s="657">
        <v>13743</v>
      </c>
      <c r="V259" s="655">
        <v>2021</v>
      </c>
      <c r="W259" s="659"/>
      <c r="X259" s="660">
        <f t="shared" si="11"/>
        <v>8.8429018409372038</v>
      </c>
      <c r="Y259" s="661" t="str">
        <f t="shared" si="9"/>
        <v/>
      </c>
      <c r="Z259" s="661" t="str">
        <f t="shared" si="10"/>
        <v/>
      </c>
    </row>
    <row r="260" spans="1:26" s="128" customFormat="1" ht="25" hidden="1">
      <c r="A260" s="655">
        <v>2559</v>
      </c>
      <c r="B260" s="656" t="s">
        <v>33</v>
      </c>
      <c r="C260" s="655" t="s">
        <v>2793</v>
      </c>
      <c r="D260" s="656" t="s">
        <v>648</v>
      </c>
      <c r="E260" s="656" t="s">
        <v>119</v>
      </c>
      <c r="F260" s="655">
        <v>5914</v>
      </c>
      <c r="G260" s="656" t="s">
        <v>57</v>
      </c>
      <c r="H260" s="656" t="s">
        <v>1182</v>
      </c>
      <c r="I260" s="656" t="s">
        <v>58</v>
      </c>
      <c r="J260" s="655">
        <v>22</v>
      </c>
      <c r="K260" s="655">
        <v>2</v>
      </c>
      <c r="L260" s="656" t="s">
        <v>52</v>
      </c>
      <c r="M260" s="656" t="s">
        <v>35</v>
      </c>
      <c r="N260" s="656" t="s">
        <v>36</v>
      </c>
      <c r="O260" s="656" t="s">
        <v>37</v>
      </c>
      <c r="P260" s="656" t="s">
        <v>1176</v>
      </c>
      <c r="Q260" s="657">
        <v>0</v>
      </c>
      <c r="R260" s="657">
        <v>0</v>
      </c>
      <c r="S260" s="657">
        <v>84911</v>
      </c>
      <c r="T260" s="657">
        <v>84911</v>
      </c>
      <c r="U260" s="657">
        <v>9602</v>
      </c>
      <c r="V260" s="655">
        <v>2021</v>
      </c>
      <c r="W260" s="659"/>
      <c r="X260" s="660">
        <f t="shared" si="11"/>
        <v>8.8430535305144762</v>
      </c>
      <c r="Y260" s="661" t="str">
        <f t="shared" si="9"/>
        <v/>
      </c>
      <c r="Z260" s="661" t="str">
        <f t="shared" si="10"/>
        <v/>
      </c>
    </row>
    <row r="261" spans="1:26" s="128" customFormat="1" ht="25" hidden="1">
      <c r="A261" s="655">
        <v>2560</v>
      </c>
      <c r="B261" s="656" t="s">
        <v>33</v>
      </c>
      <c r="C261" s="655" t="s">
        <v>2793</v>
      </c>
      <c r="D261" s="656" t="s">
        <v>649</v>
      </c>
      <c r="E261" s="656" t="s">
        <v>119</v>
      </c>
      <c r="F261" s="655">
        <v>5914</v>
      </c>
      <c r="G261" s="656" t="s">
        <v>57</v>
      </c>
      <c r="H261" s="656" t="s">
        <v>1182</v>
      </c>
      <c r="I261" s="656" t="s">
        <v>58</v>
      </c>
      <c r="J261" s="655">
        <v>22</v>
      </c>
      <c r="K261" s="655">
        <v>2</v>
      </c>
      <c r="L261" s="656" t="s">
        <v>52</v>
      </c>
      <c r="M261" s="656" t="s">
        <v>35</v>
      </c>
      <c r="N261" s="656" t="s">
        <v>36</v>
      </c>
      <c r="O261" s="656" t="s">
        <v>37</v>
      </c>
      <c r="P261" s="656" t="s">
        <v>1176</v>
      </c>
      <c r="Q261" s="657">
        <v>0</v>
      </c>
      <c r="R261" s="657">
        <v>0</v>
      </c>
      <c r="S261" s="657">
        <v>114695</v>
      </c>
      <c r="T261" s="657">
        <v>114695</v>
      </c>
      <c r="U261" s="657">
        <v>12970</v>
      </c>
      <c r="V261" s="655">
        <v>2021</v>
      </c>
      <c r="W261" s="659"/>
      <c r="X261" s="660">
        <f t="shared" si="11"/>
        <v>8.8430994602929847</v>
      </c>
      <c r="Y261" s="661" t="str">
        <f t="shared" si="9"/>
        <v/>
      </c>
      <c r="Z261" s="661" t="str">
        <f t="shared" si="10"/>
        <v/>
      </c>
    </row>
    <row r="262" spans="1:26" s="128" customFormat="1" ht="25" hidden="1">
      <c r="A262" s="655">
        <v>2561</v>
      </c>
      <c r="B262" s="656" t="s">
        <v>33</v>
      </c>
      <c r="C262" s="655" t="s">
        <v>2793</v>
      </c>
      <c r="D262" s="656" t="s">
        <v>650</v>
      </c>
      <c r="E262" s="656" t="s">
        <v>119</v>
      </c>
      <c r="F262" s="655">
        <v>5914</v>
      </c>
      <c r="G262" s="656" t="s">
        <v>57</v>
      </c>
      <c r="H262" s="656" t="s">
        <v>1182</v>
      </c>
      <c r="I262" s="656" t="s">
        <v>58</v>
      </c>
      <c r="J262" s="655">
        <v>22</v>
      </c>
      <c r="K262" s="655">
        <v>2</v>
      </c>
      <c r="L262" s="656" t="s">
        <v>52</v>
      </c>
      <c r="M262" s="656" t="s">
        <v>35</v>
      </c>
      <c r="N262" s="656" t="s">
        <v>36</v>
      </c>
      <c r="O262" s="656" t="s">
        <v>37</v>
      </c>
      <c r="P262" s="656" t="s">
        <v>1176</v>
      </c>
      <c r="Q262" s="657">
        <v>0</v>
      </c>
      <c r="R262" s="657">
        <v>0</v>
      </c>
      <c r="S262" s="657">
        <v>211171</v>
      </c>
      <c r="T262" s="657">
        <v>211171</v>
      </c>
      <c r="U262" s="657">
        <v>23880</v>
      </c>
      <c r="V262" s="655">
        <v>2021</v>
      </c>
      <c r="W262" s="659"/>
      <c r="X262" s="660">
        <f t="shared" si="11"/>
        <v>8.8430067001675035</v>
      </c>
      <c r="Y262" s="661" t="str">
        <f t="shared" si="9"/>
        <v/>
      </c>
      <c r="Z262" s="661" t="str">
        <f t="shared" si="10"/>
        <v/>
      </c>
    </row>
    <row r="263" spans="1:26" s="128" customFormat="1" ht="25" hidden="1">
      <c r="A263" s="655">
        <v>2562</v>
      </c>
      <c r="B263" s="656" t="s">
        <v>33</v>
      </c>
      <c r="C263" s="655" t="s">
        <v>2793</v>
      </c>
      <c r="D263" s="656" t="s">
        <v>651</v>
      </c>
      <c r="E263" s="656" t="s">
        <v>119</v>
      </c>
      <c r="F263" s="655">
        <v>5914</v>
      </c>
      <c r="G263" s="656" t="s">
        <v>57</v>
      </c>
      <c r="H263" s="656" t="s">
        <v>1182</v>
      </c>
      <c r="I263" s="656" t="s">
        <v>58</v>
      </c>
      <c r="J263" s="655">
        <v>22</v>
      </c>
      <c r="K263" s="655">
        <v>2</v>
      </c>
      <c r="L263" s="656" t="s">
        <v>52</v>
      </c>
      <c r="M263" s="656" t="s">
        <v>35</v>
      </c>
      <c r="N263" s="656" t="s">
        <v>36</v>
      </c>
      <c r="O263" s="656" t="s">
        <v>37</v>
      </c>
      <c r="P263" s="656" t="s">
        <v>1176</v>
      </c>
      <c r="Q263" s="657">
        <v>0</v>
      </c>
      <c r="R263" s="657">
        <v>0</v>
      </c>
      <c r="S263" s="657">
        <v>802972</v>
      </c>
      <c r="T263" s="657">
        <v>802972</v>
      </c>
      <c r="U263" s="657">
        <v>90803</v>
      </c>
      <c r="V263" s="655">
        <v>2021</v>
      </c>
      <c r="W263" s="659"/>
      <c r="X263" s="660">
        <f t="shared" si="11"/>
        <v>8.8430117947644895</v>
      </c>
      <c r="Y263" s="661" t="str">
        <f t="shared" ref="Y263:Y326" si="12">IF(AND($M263=$Y$2,$N263=$Y$3,NOT($Q263=$R263),NOT($U263=0)),IF($K263=5,$S263/($U263+(8/5)*$U263),IF($K263=7,$S263/($U263+(29/25)*$U263),"")),"")</f>
        <v/>
      </c>
      <c r="Z263" s="661" t="str">
        <f t="shared" ref="Z263:Z326" si="13">IF(AND($M263=$Y$2,$N263=$Y$4,NOT($Q263=$R263),NOT($U263=0)),IF($K263=5,$S263/($U263+(8/5)*$U263),IF($K263=7,$S263/($U263+(29/25)*$U263),"")),"")</f>
        <v/>
      </c>
    </row>
    <row r="264" spans="1:26" s="128" customFormat="1" ht="25" hidden="1">
      <c r="A264" s="655">
        <v>2563</v>
      </c>
      <c r="B264" s="656" t="s">
        <v>33</v>
      </c>
      <c r="C264" s="655" t="s">
        <v>2793</v>
      </c>
      <c r="D264" s="656" t="s">
        <v>652</v>
      </c>
      <c r="E264" s="656" t="s">
        <v>119</v>
      </c>
      <c r="F264" s="655">
        <v>5914</v>
      </c>
      <c r="G264" s="656" t="s">
        <v>57</v>
      </c>
      <c r="H264" s="656" t="s">
        <v>1182</v>
      </c>
      <c r="I264" s="656" t="s">
        <v>58</v>
      </c>
      <c r="J264" s="655">
        <v>22</v>
      </c>
      <c r="K264" s="655">
        <v>2</v>
      </c>
      <c r="L264" s="656" t="s">
        <v>52</v>
      </c>
      <c r="M264" s="656" t="s">
        <v>35</v>
      </c>
      <c r="N264" s="656" t="s">
        <v>36</v>
      </c>
      <c r="O264" s="656" t="s">
        <v>37</v>
      </c>
      <c r="P264" s="656" t="s">
        <v>1176</v>
      </c>
      <c r="Q264" s="657">
        <v>0</v>
      </c>
      <c r="R264" s="657">
        <v>0</v>
      </c>
      <c r="S264" s="657">
        <v>127808</v>
      </c>
      <c r="T264" s="657">
        <v>127808</v>
      </c>
      <c r="U264" s="657">
        <v>14453</v>
      </c>
      <c r="V264" s="655">
        <v>2021</v>
      </c>
      <c r="W264" s="659"/>
      <c r="X264" s="660">
        <f t="shared" ref="X264:X327" si="14">IF(OR(K264&gt;3,T264=0,NOT(U264&gt;0)),"",T264/U264)</f>
        <v>8.8430083719642987</v>
      </c>
      <c r="Y264" s="661" t="str">
        <f t="shared" si="12"/>
        <v/>
      </c>
      <c r="Z264" s="661" t="str">
        <f t="shared" si="13"/>
        <v/>
      </c>
    </row>
    <row r="265" spans="1:26" s="128" customFormat="1" ht="25" hidden="1">
      <c r="A265" s="655">
        <v>2564</v>
      </c>
      <c r="B265" s="656" t="s">
        <v>33</v>
      </c>
      <c r="C265" s="655" t="s">
        <v>2793</v>
      </c>
      <c r="D265" s="656" t="s">
        <v>1580</v>
      </c>
      <c r="E265" s="656" t="s">
        <v>119</v>
      </c>
      <c r="F265" s="655">
        <v>5914</v>
      </c>
      <c r="G265" s="656" t="s">
        <v>57</v>
      </c>
      <c r="H265" s="656" t="s">
        <v>1182</v>
      </c>
      <c r="I265" s="656" t="s">
        <v>58</v>
      </c>
      <c r="J265" s="655">
        <v>22</v>
      </c>
      <c r="K265" s="655">
        <v>2</v>
      </c>
      <c r="L265" s="656" t="s">
        <v>52</v>
      </c>
      <c r="M265" s="656" t="s">
        <v>35</v>
      </c>
      <c r="N265" s="656" t="s">
        <v>36</v>
      </c>
      <c r="O265" s="656" t="s">
        <v>37</v>
      </c>
      <c r="P265" s="656" t="s">
        <v>1176</v>
      </c>
      <c r="Q265" s="657">
        <v>0</v>
      </c>
      <c r="R265" s="657">
        <v>0</v>
      </c>
      <c r="S265" s="657">
        <v>68322</v>
      </c>
      <c r="T265" s="657">
        <v>68322</v>
      </c>
      <c r="U265" s="657">
        <v>7726</v>
      </c>
      <c r="V265" s="655">
        <v>2021</v>
      </c>
      <c r="W265" s="659"/>
      <c r="X265" s="660">
        <f t="shared" si="14"/>
        <v>8.8431271032875998</v>
      </c>
      <c r="Y265" s="661" t="str">
        <f t="shared" si="12"/>
        <v/>
      </c>
      <c r="Z265" s="661" t="str">
        <f t="shared" si="13"/>
        <v/>
      </c>
    </row>
    <row r="266" spans="1:26" s="128" customFormat="1" ht="25" hidden="1">
      <c r="A266" s="655">
        <v>2566</v>
      </c>
      <c r="B266" s="656" t="s">
        <v>33</v>
      </c>
      <c r="C266" s="655" t="s">
        <v>2793</v>
      </c>
      <c r="D266" s="656" t="s">
        <v>1901</v>
      </c>
      <c r="E266" s="656" t="s">
        <v>119</v>
      </c>
      <c r="F266" s="655">
        <v>5914</v>
      </c>
      <c r="G266" s="656" t="s">
        <v>57</v>
      </c>
      <c r="H266" s="656" t="s">
        <v>1182</v>
      </c>
      <c r="I266" s="656" t="s">
        <v>58</v>
      </c>
      <c r="J266" s="655">
        <v>22</v>
      </c>
      <c r="K266" s="655">
        <v>2</v>
      </c>
      <c r="L266" s="656" t="s">
        <v>52</v>
      </c>
      <c r="M266" s="656" t="s">
        <v>35</v>
      </c>
      <c r="N266" s="656" t="s">
        <v>36</v>
      </c>
      <c r="O266" s="656" t="s">
        <v>37</v>
      </c>
      <c r="P266" s="656" t="s">
        <v>1176</v>
      </c>
      <c r="Q266" s="657">
        <v>0</v>
      </c>
      <c r="R266" s="657">
        <v>0</v>
      </c>
      <c r="S266" s="657">
        <v>51846</v>
      </c>
      <c r="T266" s="657">
        <v>51846</v>
      </c>
      <c r="U266" s="657">
        <v>5863</v>
      </c>
      <c r="V266" s="655">
        <v>2021</v>
      </c>
      <c r="W266" s="659"/>
      <c r="X266" s="660">
        <f t="shared" si="14"/>
        <v>8.8429131843765987</v>
      </c>
      <c r="Y266" s="661" t="str">
        <f t="shared" si="12"/>
        <v/>
      </c>
      <c r="Z266" s="661" t="str">
        <f t="shared" si="13"/>
        <v/>
      </c>
    </row>
    <row r="267" spans="1:26" s="128" customFormat="1" ht="25" hidden="1">
      <c r="A267" s="655">
        <v>2568</v>
      </c>
      <c r="B267" s="656" t="s">
        <v>33</v>
      </c>
      <c r="C267" s="655" t="s">
        <v>2793</v>
      </c>
      <c r="D267" s="656" t="s">
        <v>1581</v>
      </c>
      <c r="E267" s="656" t="s">
        <v>119</v>
      </c>
      <c r="F267" s="655">
        <v>5914</v>
      </c>
      <c r="G267" s="656" t="s">
        <v>57</v>
      </c>
      <c r="H267" s="656" t="s">
        <v>1182</v>
      </c>
      <c r="I267" s="656" t="s">
        <v>58</v>
      </c>
      <c r="J267" s="655">
        <v>22</v>
      </c>
      <c r="K267" s="655">
        <v>2</v>
      </c>
      <c r="L267" s="656" t="s">
        <v>52</v>
      </c>
      <c r="M267" s="656" t="s">
        <v>35</v>
      </c>
      <c r="N267" s="656" t="s">
        <v>36</v>
      </c>
      <c r="O267" s="656" t="s">
        <v>37</v>
      </c>
      <c r="P267" s="656" t="s">
        <v>1176</v>
      </c>
      <c r="Q267" s="657">
        <v>0</v>
      </c>
      <c r="R267" s="657">
        <v>0</v>
      </c>
      <c r="S267" s="657">
        <v>55506</v>
      </c>
      <c r="T267" s="657">
        <v>55506</v>
      </c>
      <c r="U267" s="657">
        <v>6277</v>
      </c>
      <c r="V267" s="655">
        <v>2021</v>
      </c>
      <c r="W267" s="659"/>
      <c r="X267" s="660">
        <f t="shared" si="14"/>
        <v>8.8427592799107853</v>
      </c>
      <c r="Y267" s="661" t="str">
        <f t="shared" si="12"/>
        <v/>
      </c>
      <c r="Z267" s="661" t="str">
        <f t="shared" si="13"/>
        <v/>
      </c>
    </row>
    <row r="268" spans="1:26" s="128" customFormat="1" ht="25" hidden="1">
      <c r="A268" s="655">
        <v>2569</v>
      </c>
      <c r="B268" s="656" t="s">
        <v>33</v>
      </c>
      <c r="C268" s="655" t="s">
        <v>2793</v>
      </c>
      <c r="D268" s="656" t="s">
        <v>653</v>
      </c>
      <c r="E268" s="656" t="s">
        <v>119</v>
      </c>
      <c r="F268" s="655">
        <v>5914</v>
      </c>
      <c r="G268" s="656" t="s">
        <v>57</v>
      </c>
      <c r="H268" s="656" t="s">
        <v>1182</v>
      </c>
      <c r="I268" s="656" t="s">
        <v>58</v>
      </c>
      <c r="J268" s="655">
        <v>22</v>
      </c>
      <c r="K268" s="655">
        <v>2</v>
      </c>
      <c r="L268" s="656" t="s">
        <v>52</v>
      </c>
      <c r="M268" s="656" t="s">
        <v>35</v>
      </c>
      <c r="N268" s="656" t="s">
        <v>36</v>
      </c>
      <c r="O268" s="656" t="s">
        <v>37</v>
      </c>
      <c r="P268" s="656" t="s">
        <v>1176</v>
      </c>
      <c r="Q268" s="657">
        <v>0</v>
      </c>
      <c r="R268" s="657">
        <v>0</v>
      </c>
      <c r="S268" s="657">
        <v>290069</v>
      </c>
      <c r="T268" s="657">
        <v>290069</v>
      </c>
      <c r="U268" s="657">
        <v>32802</v>
      </c>
      <c r="V268" s="655">
        <v>2021</v>
      </c>
      <c r="W268" s="659"/>
      <c r="X268" s="660">
        <f t="shared" si="14"/>
        <v>8.8430278641546245</v>
      </c>
      <c r="Y268" s="661" t="str">
        <f t="shared" si="12"/>
        <v/>
      </c>
      <c r="Z268" s="661" t="str">
        <f t="shared" si="13"/>
        <v/>
      </c>
    </row>
    <row r="269" spans="1:26" s="128" customFormat="1" ht="25" hidden="1">
      <c r="A269" s="655">
        <v>2571</v>
      </c>
      <c r="B269" s="656" t="s">
        <v>33</v>
      </c>
      <c r="C269" s="655" t="s">
        <v>2793</v>
      </c>
      <c r="D269" s="656" t="s">
        <v>654</v>
      </c>
      <c r="E269" s="656" t="s">
        <v>119</v>
      </c>
      <c r="F269" s="655">
        <v>5914</v>
      </c>
      <c r="G269" s="656" t="s">
        <v>57</v>
      </c>
      <c r="H269" s="656" t="s">
        <v>1182</v>
      </c>
      <c r="I269" s="656" t="s">
        <v>58</v>
      </c>
      <c r="J269" s="655">
        <v>22</v>
      </c>
      <c r="K269" s="655">
        <v>2</v>
      </c>
      <c r="L269" s="656" t="s">
        <v>52</v>
      </c>
      <c r="M269" s="656" t="s">
        <v>35</v>
      </c>
      <c r="N269" s="656" t="s">
        <v>36</v>
      </c>
      <c r="O269" s="656" t="s">
        <v>37</v>
      </c>
      <c r="P269" s="656" t="s">
        <v>1176</v>
      </c>
      <c r="Q269" s="657">
        <v>0</v>
      </c>
      <c r="R269" s="657">
        <v>0</v>
      </c>
      <c r="S269" s="657">
        <v>398395</v>
      </c>
      <c r="T269" s="657">
        <v>398395</v>
      </c>
      <c r="U269" s="657">
        <v>45052</v>
      </c>
      <c r="V269" s="655">
        <v>2021</v>
      </c>
      <c r="W269" s="659"/>
      <c r="X269" s="660">
        <f t="shared" si="14"/>
        <v>8.8430036402379475</v>
      </c>
      <c r="Y269" s="661" t="str">
        <f t="shared" si="12"/>
        <v/>
      </c>
      <c r="Z269" s="661" t="str">
        <f t="shared" si="13"/>
        <v/>
      </c>
    </row>
    <row r="270" spans="1:26" s="128" customFormat="1" ht="25" hidden="1">
      <c r="A270" s="655">
        <v>2572</v>
      </c>
      <c r="B270" s="656" t="s">
        <v>33</v>
      </c>
      <c r="C270" s="655" t="s">
        <v>2793</v>
      </c>
      <c r="D270" s="656" t="s">
        <v>655</v>
      </c>
      <c r="E270" s="656" t="s">
        <v>119</v>
      </c>
      <c r="F270" s="655">
        <v>5914</v>
      </c>
      <c r="G270" s="656" t="s">
        <v>57</v>
      </c>
      <c r="H270" s="656" t="s">
        <v>1182</v>
      </c>
      <c r="I270" s="656" t="s">
        <v>58</v>
      </c>
      <c r="J270" s="655">
        <v>22</v>
      </c>
      <c r="K270" s="655">
        <v>2</v>
      </c>
      <c r="L270" s="656" t="s">
        <v>52</v>
      </c>
      <c r="M270" s="656" t="s">
        <v>35</v>
      </c>
      <c r="N270" s="656" t="s">
        <v>36</v>
      </c>
      <c r="O270" s="656" t="s">
        <v>37</v>
      </c>
      <c r="P270" s="656" t="s">
        <v>1176</v>
      </c>
      <c r="Q270" s="657">
        <v>0</v>
      </c>
      <c r="R270" s="657">
        <v>0</v>
      </c>
      <c r="S270" s="657">
        <v>220005</v>
      </c>
      <c r="T270" s="657">
        <v>220005</v>
      </c>
      <c r="U270" s="657">
        <v>24879</v>
      </c>
      <c r="V270" s="655">
        <v>2021</v>
      </c>
      <c r="W270" s="659"/>
      <c r="X270" s="660">
        <f t="shared" si="14"/>
        <v>8.8430001205836248</v>
      </c>
      <c r="Y270" s="661" t="str">
        <f t="shared" si="12"/>
        <v/>
      </c>
      <c r="Z270" s="661" t="str">
        <f t="shared" si="13"/>
        <v/>
      </c>
    </row>
    <row r="271" spans="1:26" s="128" customFormat="1" ht="25" hidden="1">
      <c r="A271" s="655">
        <v>2573</v>
      </c>
      <c r="B271" s="656" t="s">
        <v>33</v>
      </c>
      <c r="C271" s="655" t="s">
        <v>2793</v>
      </c>
      <c r="D271" s="656" t="s">
        <v>656</v>
      </c>
      <c r="E271" s="656" t="s">
        <v>119</v>
      </c>
      <c r="F271" s="655">
        <v>5914</v>
      </c>
      <c r="G271" s="656" t="s">
        <v>57</v>
      </c>
      <c r="H271" s="656" t="s">
        <v>1182</v>
      </c>
      <c r="I271" s="656" t="s">
        <v>58</v>
      </c>
      <c r="J271" s="655">
        <v>22</v>
      </c>
      <c r="K271" s="655">
        <v>2</v>
      </c>
      <c r="L271" s="656" t="s">
        <v>52</v>
      </c>
      <c r="M271" s="656" t="s">
        <v>35</v>
      </c>
      <c r="N271" s="656" t="s">
        <v>36</v>
      </c>
      <c r="O271" s="656" t="s">
        <v>37</v>
      </c>
      <c r="P271" s="656" t="s">
        <v>1176</v>
      </c>
      <c r="Q271" s="657">
        <v>0</v>
      </c>
      <c r="R271" s="657">
        <v>0</v>
      </c>
      <c r="S271" s="657">
        <v>39704</v>
      </c>
      <c r="T271" s="657">
        <v>39704</v>
      </c>
      <c r="U271" s="657">
        <v>4490</v>
      </c>
      <c r="V271" s="655">
        <v>2021</v>
      </c>
      <c r="W271" s="659"/>
      <c r="X271" s="660">
        <f t="shared" si="14"/>
        <v>8.8427616926503347</v>
      </c>
      <c r="Y271" s="661" t="str">
        <f t="shared" si="12"/>
        <v/>
      </c>
      <c r="Z271" s="661" t="str">
        <f t="shared" si="13"/>
        <v/>
      </c>
    </row>
    <row r="272" spans="1:26" s="128" customFormat="1" hidden="1">
      <c r="A272" s="655">
        <v>2574</v>
      </c>
      <c r="B272" s="656" t="s">
        <v>33</v>
      </c>
      <c r="C272" s="655" t="s">
        <v>2793</v>
      </c>
      <c r="D272" s="656" t="s">
        <v>657</v>
      </c>
      <c r="E272" s="656" t="s">
        <v>658</v>
      </c>
      <c r="F272" s="655">
        <v>14240</v>
      </c>
      <c r="G272" s="656" t="s">
        <v>57</v>
      </c>
      <c r="H272" s="656" t="s">
        <v>1182</v>
      </c>
      <c r="I272" s="656" t="s">
        <v>58</v>
      </c>
      <c r="J272" s="655">
        <v>22</v>
      </c>
      <c r="K272" s="655">
        <v>1</v>
      </c>
      <c r="L272" s="656" t="s">
        <v>34</v>
      </c>
      <c r="M272" s="656" t="s">
        <v>35</v>
      </c>
      <c r="N272" s="656" t="s">
        <v>36</v>
      </c>
      <c r="O272" s="656" t="s">
        <v>37</v>
      </c>
      <c r="P272" s="656" t="s">
        <v>1176</v>
      </c>
      <c r="Q272" s="657">
        <v>0</v>
      </c>
      <c r="R272" s="657">
        <v>0</v>
      </c>
      <c r="S272" s="657">
        <v>189258</v>
      </c>
      <c r="T272" s="657">
        <v>189258</v>
      </c>
      <c r="U272" s="657">
        <v>21402</v>
      </c>
      <c r="V272" s="655">
        <v>2021</v>
      </c>
      <c r="W272" s="659"/>
      <c r="X272" s="660">
        <f t="shared" si="14"/>
        <v>8.8430053266049899</v>
      </c>
      <c r="Y272" s="661" t="str">
        <f t="shared" si="12"/>
        <v/>
      </c>
      <c r="Z272" s="661" t="str">
        <f t="shared" si="13"/>
        <v/>
      </c>
    </row>
    <row r="273" spans="1:26" s="128" customFormat="1" ht="25" hidden="1">
      <c r="A273" s="655">
        <v>2575</v>
      </c>
      <c r="B273" s="656" t="s">
        <v>33</v>
      </c>
      <c r="C273" s="655" t="s">
        <v>2793</v>
      </c>
      <c r="D273" s="656" t="s">
        <v>1582</v>
      </c>
      <c r="E273" s="656" t="s">
        <v>119</v>
      </c>
      <c r="F273" s="655">
        <v>5914</v>
      </c>
      <c r="G273" s="656" t="s">
        <v>57</v>
      </c>
      <c r="H273" s="656" t="s">
        <v>1182</v>
      </c>
      <c r="I273" s="656" t="s">
        <v>58</v>
      </c>
      <c r="J273" s="655">
        <v>22</v>
      </c>
      <c r="K273" s="655">
        <v>2</v>
      </c>
      <c r="L273" s="656" t="s">
        <v>52</v>
      </c>
      <c r="M273" s="656" t="s">
        <v>35</v>
      </c>
      <c r="N273" s="656" t="s">
        <v>36</v>
      </c>
      <c r="O273" s="656" t="s">
        <v>37</v>
      </c>
      <c r="P273" s="656" t="s">
        <v>1176</v>
      </c>
      <c r="Q273" s="657">
        <v>0</v>
      </c>
      <c r="R273" s="657">
        <v>0</v>
      </c>
      <c r="S273" s="657">
        <v>239680</v>
      </c>
      <c r="T273" s="657">
        <v>239680</v>
      </c>
      <c r="U273" s="657">
        <v>27104</v>
      </c>
      <c r="V273" s="655">
        <v>2021</v>
      </c>
      <c r="W273" s="659"/>
      <c r="X273" s="660">
        <f t="shared" si="14"/>
        <v>8.8429752066115697</v>
      </c>
      <c r="Y273" s="661" t="str">
        <f t="shared" si="12"/>
        <v/>
      </c>
      <c r="Z273" s="661" t="str">
        <f t="shared" si="13"/>
        <v/>
      </c>
    </row>
    <row r="274" spans="1:26" s="128" customFormat="1" ht="25" hidden="1">
      <c r="A274" s="655">
        <v>2576</v>
      </c>
      <c r="B274" s="656" t="s">
        <v>33</v>
      </c>
      <c r="C274" s="655" t="s">
        <v>2793</v>
      </c>
      <c r="D274" s="656" t="s">
        <v>659</v>
      </c>
      <c r="E274" s="656" t="s">
        <v>119</v>
      </c>
      <c r="F274" s="655">
        <v>5914</v>
      </c>
      <c r="G274" s="656" t="s">
        <v>57</v>
      </c>
      <c r="H274" s="656" t="s">
        <v>1182</v>
      </c>
      <c r="I274" s="656" t="s">
        <v>58</v>
      </c>
      <c r="J274" s="655">
        <v>22</v>
      </c>
      <c r="K274" s="655">
        <v>2</v>
      </c>
      <c r="L274" s="656" t="s">
        <v>52</v>
      </c>
      <c r="M274" s="656" t="s">
        <v>35</v>
      </c>
      <c r="N274" s="656" t="s">
        <v>36</v>
      </c>
      <c r="O274" s="656" t="s">
        <v>37</v>
      </c>
      <c r="P274" s="656" t="s">
        <v>1176</v>
      </c>
      <c r="Q274" s="657">
        <v>0</v>
      </c>
      <c r="R274" s="657">
        <v>0</v>
      </c>
      <c r="S274" s="657">
        <v>316056</v>
      </c>
      <c r="T274" s="657">
        <v>316056</v>
      </c>
      <c r="U274" s="657">
        <v>35741</v>
      </c>
      <c r="V274" s="655">
        <v>2021</v>
      </c>
      <c r="W274" s="659"/>
      <c r="X274" s="660">
        <f t="shared" si="14"/>
        <v>8.8429534708038382</v>
      </c>
      <c r="Y274" s="661" t="str">
        <f t="shared" si="12"/>
        <v/>
      </c>
      <c r="Z274" s="661" t="str">
        <f t="shared" si="13"/>
        <v/>
      </c>
    </row>
    <row r="275" spans="1:26" s="128" customFormat="1" ht="25" hidden="1">
      <c r="A275" s="655">
        <v>2578</v>
      </c>
      <c r="B275" s="656" t="s">
        <v>33</v>
      </c>
      <c r="C275" s="655" t="s">
        <v>2793</v>
      </c>
      <c r="D275" s="656" t="s">
        <v>660</v>
      </c>
      <c r="E275" s="656" t="s">
        <v>119</v>
      </c>
      <c r="F275" s="655">
        <v>5914</v>
      </c>
      <c r="G275" s="656" t="s">
        <v>57</v>
      </c>
      <c r="H275" s="656" t="s">
        <v>1182</v>
      </c>
      <c r="I275" s="656" t="s">
        <v>58</v>
      </c>
      <c r="J275" s="655">
        <v>22</v>
      </c>
      <c r="K275" s="655">
        <v>2</v>
      </c>
      <c r="L275" s="656" t="s">
        <v>52</v>
      </c>
      <c r="M275" s="656" t="s">
        <v>35</v>
      </c>
      <c r="N275" s="656" t="s">
        <v>36</v>
      </c>
      <c r="O275" s="656" t="s">
        <v>37</v>
      </c>
      <c r="P275" s="656" t="s">
        <v>1176</v>
      </c>
      <c r="Q275" s="657">
        <v>0</v>
      </c>
      <c r="R275" s="657">
        <v>0</v>
      </c>
      <c r="S275" s="657">
        <v>56400</v>
      </c>
      <c r="T275" s="657">
        <v>56400</v>
      </c>
      <c r="U275" s="657">
        <v>6378</v>
      </c>
      <c r="V275" s="655">
        <v>2021</v>
      </c>
      <c r="W275" s="659"/>
      <c r="X275" s="660">
        <f t="shared" si="14"/>
        <v>8.8428974600188148</v>
      </c>
      <c r="Y275" s="661" t="str">
        <f t="shared" si="12"/>
        <v/>
      </c>
      <c r="Z275" s="661" t="str">
        <f t="shared" si="13"/>
        <v/>
      </c>
    </row>
    <row r="276" spans="1:26" s="128" customFormat="1" ht="25" hidden="1">
      <c r="A276" s="655">
        <v>2579</v>
      </c>
      <c r="B276" s="656" t="s">
        <v>33</v>
      </c>
      <c r="C276" s="655" t="s">
        <v>2793</v>
      </c>
      <c r="D276" s="656" t="s">
        <v>661</v>
      </c>
      <c r="E276" s="656" t="s">
        <v>119</v>
      </c>
      <c r="F276" s="655">
        <v>5914</v>
      </c>
      <c r="G276" s="656" t="s">
        <v>57</v>
      </c>
      <c r="H276" s="656" t="s">
        <v>1182</v>
      </c>
      <c r="I276" s="656" t="s">
        <v>58</v>
      </c>
      <c r="J276" s="655">
        <v>22</v>
      </c>
      <c r="K276" s="655">
        <v>2</v>
      </c>
      <c r="L276" s="656" t="s">
        <v>52</v>
      </c>
      <c r="M276" s="656" t="s">
        <v>35</v>
      </c>
      <c r="N276" s="656" t="s">
        <v>36</v>
      </c>
      <c r="O276" s="656" t="s">
        <v>37</v>
      </c>
      <c r="P276" s="656" t="s">
        <v>1176</v>
      </c>
      <c r="Q276" s="657">
        <v>0</v>
      </c>
      <c r="R276" s="657">
        <v>0</v>
      </c>
      <c r="S276" s="657">
        <v>251911</v>
      </c>
      <c r="T276" s="657">
        <v>251911</v>
      </c>
      <c r="U276" s="657">
        <v>28487</v>
      </c>
      <c r="V276" s="655">
        <v>2021</v>
      </c>
      <c r="W276" s="659"/>
      <c r="X276" s="660">
        <f t="shared" si="14"/>
        <v>8.8430161126127711</v>
      </c>
      <c r="Y276" s="661" t="str">
        <f t="shared" si="12"/>
        <v/>
      </c>
      <c r="Z276" s="661" t="str">
        <f t="shared" si="13"/>
        <v/>
      </c>
    </row>
    <row r="277" spans="1:26" s="128" customFormat="1" ht="25" hidden="1">
      <c r="A277" s="655">
        <v>2580</v>
      </c>
      <c r="B277" s="656" t="s">
        <v>33</v>
      </c>
      <c r="C277" s="655" t="s">
        <v>2793</v>
      </c>
      <c r="D277" s="656" t="s">
        <v>1583</v>
      </c>
      <c r="E277" s="656" t="s">
        <v>119</v>
      </c>
      <c r="F277" s="655">
        <v>5914</v>
      </c>
      <c r="G277" s="656" t="s">
        <v>57</v>
      </c>
      <c r="H277" s="656" t="s">
        <v>1182</v>
      </c>
      <c r="I277" s="656" t="s">
        <v>58</v>
      </c>
      <c r="J277" s="655">
        <v>22</v>
      </c>
      <c r="K277" s="655">
        <v>2</v>
      </c>
      <c r="L277" s="656" t="s">
        <v>52</v>
      </c>
      <c r="M277" s="656" t="s">
        <v>35</v>
      </c>
      <c r="N277" s="656" t="s">
        <v>36</v>
      </c>
      <c r="O277" s="656" t="s">
        <v>37</v>
      </c>
      <c r="P277" s="656" t="s">
        <v>1176</v>
      </c>
      <c r="Q277" s="657">
        <v>0</v>
      </c>
      <c r="R277" s="657">
        <v>0</v>
      </c>
      <c r="S277" s="657">
        <v>103985</v>
      </c>
      <c r="T277" s="657">
        <v>103985</v>
      </c>
      <c r="U277" s="657">
        <v>11759</v>
      </c>
      <c r="V277" s="655">
        <v>2021</v>
      </c>
      <c r="W277" s="659"/>
      <c r="X277" s="660">
        <f t="shared" si="14"/>
        <v>8.8430138617229357</v>
      </c>
      <c r="Y277" s="661" t="str">
        <f t="shared" si="12"/>
        <v/>
      </c>
      <c r="Z277" s="661" t="str">
        <f t="shared" si="13"/>
        <v/>
      </c>
    </row>
    <row r="278" spans="1:26" s="128" customFormat="1" ht="25" hidden="1">
      <c r="A278" s="655">
        <v>2581</v>
      </c>
      <c r="B278" s="656" t="s">
        <v>33</v>
      </c>
      <c r="C278" s="655" t="s">
        <v>2793</v>
      </c>
      <c r="D278" s="656" t="s">
        <v>662</v>
      </c>
      <c r="E278" s="656" t="s">
        <v>119</v>
      </c>
      <c r="F278" s="655">
        <v>5914</v>
      </c>
      <c r="G278" s="656" t="s">
        <v>57</v>
      </c>
      <c r="H278" s="656" t="s">
        <v>1182</v>
      </c>
      <c r="I278" s="656" t="s">
        <v>58</v>
      </c>
      <c r="J278" s="655">
        <v>22</v>
      </c>
      <c r="K278" s="655">
        <v>2</v>
      </c>
      <c r="L278" s="656" t="s">
        <v>52</v>
      </c>
      <c r="M278" s="656" t="s">
        <v>35</v>
      </c>
      <c r="N278" s="656" t="s">
        <v>36</v>
      </c>
      <c r="O278" s="656" t="s">
        <v>37</v>
      </c>
      <c r="P278" s="656" t="s">
        <v>1176</v>
      </c>
      <c r="Q278" s="657">
        <v>0</v>
      </c>
      <c r="R278" s="657">
        <v>0</v>
      </c>
      <c r="S278" s="657">
        <v>243643</v>
      </c>
      <c r="T278" s="657">
        <v>243643</v>
      </c>
      <c r="U278" s="657">
        <v>27552</v>
      </c>
      <c r="V278" s="655">
        <v>2021</v>
      </c>
      <c r="W278" s="659"/>
      <c r="X278" s="660">
        <f t="shared" si="14"/>
        <v>8.8430240998838556</v>
      </c>
      <c r="Y278" s="661" t="str">
        <f t="shared" si="12"/>
        <v/>
      </c>
      <c r="Z278" s="661" t="str">
        <f t="shared" si="13"/>
        <v/>
      </c>
    </row>
    <row r="279" spans="1:26" s="128" customFormat="1" ht="25" hidden="1">
      <c r="A279" s="655">
        <v>2582</v>
      </c>
      <c r="B279" s="656" t="s">
        <v>33</v>
      </c>
      <c r="C279" s="655" t="s">
        <v>2793</v>
      </c>
      <c r="D279" s="656" t="s">
        <v>663</v>
      </c>
      <c r="E279" s="656" t="s">
        <v>119</v>
      </c>
      <c r="F279" s="655">
        <v>5914</v>
      </c>
      <c r="G279" s="656" t="s">
        <v>57</v>
      </c>
      <c r="H279" s="656" t="s">
        <v>1182</v>
      </c>
      <c r="I279" s="656" t="s">
        <v>58</v>
      </c>
      <c r="J279" s="655">
        <v>22</v>
      </c>
      <c r="K279" s="655">
        <v>2</v>
      </c>
      <c r="L279" s="656" t="s">
        <v>52</v>
      </c>
      <c r="M279" s="656" t="s">
        <v>35</v>
      </c>
      <c r="N279" s="656" t="s">
        <v>36</v>
      </c>
      <c r="O279" s="656" t="s">
        <v>37</v>
      </c>
      <c r="P279" s="656" t="s">
        <v>1176</v>
      </c>
      <c r="Q279" s="657">
        <v>0</v>
      </c>
      <c r="R279" s="657">
        <v>0</v>
      </c>
      <c r="S279" s="657">
        <v>192027</v>
      </c>
      <c r="T279" s="657">
        <v>192027</v>
      </c>
      <c r="U279" s="657">
        <v>21715</v>
      </c>
      <c r="V279" s="655">
        <v>2021</v>
      </c>
      <c r="W279" s="659"/>
      <c r="X279" s="660">
        <f t="shared" si="14"/>
        <v>8.8430577941515089</v>
      </c>
      <c r="Y279" s="661" t="str">
        <f t="shared" si="12"/>
        <v/>
      </c>
      <c r="Z279" s="661" t="str">
        <f t="shared" si="13"/>
        <v/>
      </c>
    </row>
    <row r="280" spans="1:26" s="128" customFormat="1" ht="25" hidden="1">
      <c r="A280" s="655">
        <v>2583</v>
      </c>
      <c r="B280" s="656" t="s">
        <v>33</v>
      </c>
      <c r="C280" s="655" t="s">
        <v>2793</v>
      </c>
      <c r="D280" s="656" t="s">
        <v>664</v>
      </c>
      <c r="E280" s="656" t="s">
        <v>119</v>
      </c>
      <c r="F280" s="655">
        <v>5914</v>
      </c>
      <c r="G280" s="656" t="s">
        <v>57</v>
      </c>
      <c r="H280" s="656" t="s">
        <v>1182</v>
      </c>
      <c r="I280" s="656" t="s">
        <v>58</v>
      </c>
      <c r="J280" s="655">
        <v>22</v>
      </c>
      <c r="K280" s="655">
        <v>2</v>
      </c>
      <c r="L280" s="656" t="s">
        <v>52</v>
      </c>
      <c r="M280" s="656" t="s">
        <v>35</v>
      </c>
      <c r="N280" s="656" t="s">
        <v>36</v>
      </c>
      <c r="O280" s="656" t="s">
        <v>37</v>
      </c>
      <c r="P280" s="656" t="s">
        <v>1176</v>
      </c>
      <c r="Q280" s="657">
        <v>0</v>
      </c>
      <c r="R280" s="657">
        <v>0</v>
      </c>
      <c r="S280" s="657">
        <v>49372</v>
      </c>
      <c r="T280" s="657">
        <v>49372</v>
      </c>
      <c r="U280" s="657">
        <v>5583</v>
      </c>
      <c r="V280" s="655">
        <v>2021</v>
      </c>
      <c r="W280" s="659"/>
      <c r="X280" s="660">
        <f t="shared" si="14"/>
        <v>8.8432742253268852</v>
      </c>
      <c r="Y280" s="661" t="str">
        <f t="shared" si="12"/>
        <v/>
      </c>
      <c r="Z280" s="661" t="str">
        <f t="shared" si="13"/>
        <v/>
      </c>
    </row>
    <row r="281" spans="1:26" s="128" customFormat="1" ht="25" hidden="1">
      <c r="A281" s="655">
        <v>2586</v>
      </c>
      <c r="B281" s="656" t="s">
        <v>33</v>
      </c>
      <c r="C281" s="655" t="s">
        <v>2793</v>
      </c>
      <c r="D281" s="656" t="s">
        <v>665</v>
      </c>
      <c r="E281" s="656" t="s">
        <v>119</v>
      </c>
      <c r="F281" s="655">
        <v>5914</v>
      </c>
      <c r="G281" s="656" t="s">
        <v>57</v>
      </c>
      <c r="H281" s="656" t="s">
        <v>1182</v>
      </c>
      <c r="I281" s="656" t="s">
        <v>58</v>
      </c>
      <c r="J281" s="655">
        <v>22</v>
      </c>
      <c r="K281" s="655">
        <v>2</v>
      </c>
      <c r="L281" s="656" t="s">
        <v>52</v>
      </c>
      <c r="M281" s="656" t="s">
        <v>35</v>
      </c>
      <c r="N281" s="656" t="s">
        <v>36</v>
      </c>
      <c r="O281" s="656" t="s">
        <v>37</v>
      </c>
      <c r="P281" s="656" t="s">
        <v>1176</v>
      </c>
      <c r="Q281" s="657">
        <v>0</v>
      </c>
      <c r="R281" s="657">
        <v>0</v>
      </c>
      <c r="S281" s="657">
        <v>225681</v>
      </c>
      <c r="T281" s="657">
        <v>225681</v>
      </c>
      <c r="U281" s="657">
        <v>25521</v>
      </c>
      <c r="V281" s="655">
        <v>2021</v>
      </c>
      <c r="W281" s="659"/>
      <c r="X281" s="660">
        <f t="shared" si="14"/>
        <v>8.8429528623486533</v>
      </c>
      <c r="Y281" s="661" t="str">
        <f t="shared" si="12"/>
        <v/>
      </c>
      <c r="Z281" s="661" t="str">
        <f t="shared" si="13"/>
        <v/>
      </c>
    </row>
    <row r="282" spans="1:26" s="128" customFormat="1" ht="25" hidden="1">
      <c r="A282" s="655">
        <v>2588</v>
      </c>
      <c r="B282" s="656" t="s">
        <v>33</v>
      </c>
      <c r="C282" s="655" t="s">
        <v>2793</v>
      </c>
      <c r="D282" s="656" t="s">
        <v>666</v>
      </c>
      <c r="E282" s="656" t="s">
        <v>119</v>
      </c>
      <c r="F282" s="655">
        <v>5914</v>
      </c>
      <c r="G282" s="656" t="s">
        <v>57</v>
      </c>
      <c r="H282" s="656" t="s">
        <v>1182</v>
      </c>
      <c r="I282" s="656" t="s">
        <v>58</v>
      </c>
      <c r="J282" s="655">
        <v>22</v>
      </c>
      <c r="K282" s="655">
        <v>2</v>
      </c>
      <c r="L282" s="656" t="s">
        <v>52</v>
      </c>
      <c r="M282" s="656" t="s">
        <v>35</v>
      </c>
      <c r="N282" s="656" t="s">
        <v>36</v>
      </c>
      <c r="O282" s="656" t="s">
        <v>37</v>
      </c>
      <c r="P282" s="656" t="s">
        <v>1176</v>
      </c>
      <c r="Q282" s="657">
        <v>0</v>
      </c>
      <c r="R282" s="657">
        <v>0</v>
      </c>
      <c r="S282" s="657">
        <v>292429</v>
      </c>
      <c r="T282" s="657">
        <v>292429</v>
      </c>
      <c r="U282" s="657">
        <v>33069</v>
      </c>
      <c r="V282" s="655">
        <v>2021</v>
      </c>
      <c r="W282" s="659"/>
      <c r="X282" s="660">
        <f t="shared" si="14"/>
        <v>8.8429949499531286</v>
      </c>
      <c r="Y282" s="661" t="str">
        <f t="shared" si="12"/>
        <v/>
      </c>
      <c r="Z282" s="661" t="str">
        <f t="shared" si="13"/>
        <v/>
      </c>
    </row>
    <row r="283" spans="1:26" s="128" customFormat="1" ht="25" hidden="1">
      <c r="A283" s="655">
        <v>2589</v>
      </c>
      <c r="B283" s="656" t="s">
        <v>33</v>
      </c>
      <c r="C283" s="655">
        <v>2</v>
      </c>
      <c r="D283" s="656" t="s">
        <v>120</v>
      </c>
      <c r="E283" s="656" t="s">
        <v>1826</v>
      </c>
      <c r="F283" s="655">
        <v>55951</v>
      </c>
      <c r="G283" s="656" t="s">
        <v>57</v>
      </c>
      <c r="H283" s="656" t="s">
        <v>1182</v>
      </c>
      <c r="I283" s="656" t="s">
        <v>58</v>
      </c>
      <c r="J283" s="655">
        <v>22</v>
      </c>
      <c r="K283" s="655">
        <v>2</v>
      </c>
      <c r="L283" s="656" t="s">
        <v>52</v>
      </c>
      <c r="M283" s="656" t="s">
        <v>42</v>
      </c>
      <c r="N283" s="656" t="s">
        <v>53</v>
      </c>
      <c r="O283" s="656" t="s">
        <v>53</v>
      </c>
      <c r="P283" s="656" t="s">
        <v>1176</v>
      </c>
      <c r="Q283" s="657">
        <v>0</v>
      </c>
      <c r="R283" s="657">
        <v>0</v>
      </c>
      <c r="S283" s="657">
        <v>0</v>
      </c>
      <c r="T283" s="657">
        <v>0</v>
      </c>
      <c r="U283" s="657">
        <v>11161908</v>
      </c>
      <c r="V283" s="655">
        <v>2021</v>
      </c>
      <c r="W283" s="659"/>
      <c r="X283" s="660" t="str">
        <f t="shared" si="14"/>
        <v/>
      </c>
      <c r="Y283" s="661" t="str">
        <f t="shared" si="12"/>
        <v/>
      </c>
      <c r="Z283" s="661" t="str">
        <f t="shared" si="13"/>
        <v/>
      </c>
    </row>
    <row r="284" spans="1:26" s="128" customFormat="1" ht="25" hidden="1">
      <c r="A284" s="655">
        <v>2589</v>
      </c>
      <c r="B284" s="656" t="s">
        <v>33</v>
      </c>
      <c r="C284" s="655">
        <v>1</v>
      </c>
      <c r="D284" s="656" t="s">
        <v>120</v>
      </c>
      <c r="E284" s="656" t="s">
        <v>1826</v>
      </c>
      <c r="F284" s="655">
        <v>55951</v>
      </c>
      <c r="G284" s="656" t="s">
        <v>57</v>
      </c>
      <c r="H284" s="656" t="s">
        <v>1182</v>
      </c>
      <c r="I284" s="656" t="s">
        <v>58</v>
      </c>
      <c r="J284" s="655">
        <v>22</v>
      </c>
      <c r="K284" s="655">
        <v>2</v>
      </c>
      <c r="L284" s="656" t="s">
        <v>52</v>
      </c>
      <c r="M284" s="656" t="s">
        <v>42</v>
      </c>
      <c r="N284" s="656" t="s">
        <v>53</v>
      </c>
      <c r="O284" s="656" t="s">
        <v>53</v>
      </c>
      <c r="P284" s="656" t="s">
        <v>1176</v>
      </c>
      <c r="Q284" s="657">
        <v>0</v>
      </c>
      <c r="R284" s="657">
        <v>0</v>
      </c>
      <c r="S284" s="657">
        <v>0</v>
      </c>
      <c r="T284" s="657">
        <v>0</v>
      </c>
      <c r="U284" s="657">
        <v>5044484</v>
      </c>
      <c r="V284" s="655">
        <v>2021</v>
      </c>
      <c r="W284" s="659"/>
      <c r="X284" s="660" t="str">
        <f t="shared" si="14"/>
        <v/>
      </c>
      <c r="Y284" s="661" t="str">
        <f t="shared" si="12"/>
        <v/>
      </c>
      <c r="Z284" s="661" t="str">
        <f t="shared" si="13"/>
        <v/>
      </c>
    </row>
    <row r="285" spans="1:26" s="128" customFormat="1" ht="25" hidden="1">
      <c r="A285" s="655">
        <v>2590</v>
      </c>
      <c r="B285" s="656" t="s">
        <v>33</v>
      </c>
      <c r="C285" s="655" t="s">
        <v>2793</v>
      </c>
      <c r="D285" s="656" t="s">
        <v>667</v>
      </c>
      <c r="E285" s="656" t="s">
        <v>119</v>
      </c>
      <c r="F285" s="655">
        <v>5914</v>
      </c>
      <c r="G285" s="656" t="s">
        <v>57</v>
      </c>
      <c r="H285" s="656" t="s">
        <v>1182</v>
      </c>
      <c r="I285" s="656" t="s">
        <v>58</v>
      </c>
      <c r="J285" s="655">
        <v>22</v>
      </c>
      <c r="K285" s="655">
        <v>2</v>
      </c>
      <c r="L285" s="656" t="s">
        <v>52</v>
      </c>
      <c r="M285" s="656" t="s">
        <v>35</v>
      </c>
      <c r="N285" s="656" t="s">
        <v>36</v>
      </c>
      <c r="O285" s="656" t="s">
        <v>37</v>
      </c>
      <c r="P285" s="656" t="s">
        <v>1176</v>
      </c>
      <c r="Q285" s="657">
        <v>0</v>
      </c>
      <c r="R285" s="657">
        <v>0</v>
      </c>
      <c r="S285" s="657">
        <v>239027</v>
      </c>
      <c r="T285" s="657">
        <v>239027</v>
      </c>
      <c r="U285" s="657">
        <v>27030</v>
      </c>
      <c r="V285" s="655">
        <v>2021</v>
      </c>
      <c r="W285" s="659"/>
      <c r="X285" s="660">
        <f t="shared" si="14"/>
        <v>8.8430262671106181</v>
      </c>
      <c r="Y285" s="661" t="str">
        <f t="shared" si="12"/>
        <v/>
      </c>
      <c r="Z285" s="661" t="str">
        <f t="shared" si="13"/>
        <v/>
      </c>
    </row>
    <row r="286" spans="1:26" s="128" customFormat="1" ht="25" hidden="1">
      <c r="A286" s="655">
        <v>2591</v>
      </c>
      <c r="B286" s="656" t="s">
        <v>33</v>
      </c>
      <c r="C286" s="655" t="s">
        <v>2793</v>
      </c>
      <c r="D286" s="656" t="s">
        <v>668</v>
      </c>
      <c r="E286" s="656" t="s">
        <v>119</v>
      </c>
      <c r="F286" s="655">
        <v>5914</v>
      </c>
      <c r="G286" s="656" t="s">
        <v>57</v>
      </c>
      <c r="H286" s="656" t="s">
        <v>1182</v>
      </c>
      <c r="I286" s="656" t="s">
        <v>58</v>
      </c>
      <c r="J286" s="655">
        <v>22</v>
      </c>
      <c r="K286" s="655">
        <v>2</v>
      </c>
      <c r="L286" s="656" t="s">
        <v>52</v>
      </c>
      <c r="M286" s="656" t="s">
        <v>35</v>
      </c>
      <c r="N286" s="656" t="s">
        <v>36</v>
      </c>
      <c r="O286" s="656" t="s">
        <v>37</v>
      </c>
      <c r="P286" s="656" t="s">
        <v>1176</v>
      </c>
      <c r="Q286" s="657">
        <v>0</v>
      </c>
      <c r="R286" s="657">
        <v>0</v>
      </c>
      <c r="S286" s="657">
        <v>116922</v>
      </c>
      <c r="T286" s="657">
        <v>116922</v>
      </c>
      <c r="U286" s="657">
        <v>13222</v>
      </c>
      <c r="V286" s="655">
        <v>2021</v>
      </c>
      <c r="W286" s="659"/>
      <c r="X286" s="660">
        <f t="shared" si="14"/>
        <v>8.8429889577976102</v>
      </c>
      <c r="Y286" s="661" t="str">
        <f t="shared" si="12"/>
        <v/>
      </c>
      <c r="Z286" s="661" t="str">
        <f t="shared" si="13"/>
        <v/>
      </c>
    </row>
    <row r="287" spans="1:26" s="128" customFormat="1" hidden="1">
      <c r="A287" s="655">
        <v>2594</v>
      </c>
      <c r="B287" s="656" t="s">
        <v>33</v>
      </c>
      <c r="C287" s="655" t="s">
        <v>2793</v>
      </c>
      <c r="D287" s="656" t="s">
        <v>121</v>
      </c>
      <c r="E287" s="656" t="s">
        <v>121</v>
      </c>
      <c r="F287" s="655">
        <v>64701</v>
      </c>
      <c r="G287" s="656" t="s">
        <v>57</v>
      </c>
      <c r="H287" s="656" t="s">
        <v>1182</v>
      </c>
      <c r="I287" s="656" t="s">
        <v>58</v>
      </c>
      <c r="J287" s="655">
        <v>22</v>
      </c>
      <c r="K287" s="655">
        <v>2</v>
      </c>
      <c r="L287" s="656" t="s">
        <v>52</v>
      </c>
      <c r="M287" s="656" t="s">
        <v>42</v>
      </c>
      <c r="N287" s="656" t="s">
        <v>46</v>
      </c>
      <c r="O287" s="656" t="s">
        <v>46</v>
      </c>
      <c r="P287" s="656" t="s">
        <v>47</v>
      </c>
      <c r="Q287" s="657">
        <v>0</v>
      </c>
      <c r="R287" s="657">
        <v>0</v>
      </c>
      <c r="S287" s="657">
        <v>0</v>
      </c>
      <c r="T287" s="657">
        <v>0</v>
      </c>
      <c r="U287" s="657">
        <v>0</v>
      </c>
      <c r="V287" s="655">
        <v>2021</v>
      </c>
      <c r="W287" s="659" t="s">
        <v>3675</v>
      </c>
      <c r="X287" s="660" t="str">
        <f t="shared" si="14"/>
        <v/>
      </c>
      <c r="Y287" s="661" t="str">
        <f t="shared" si="12"/>
        <v/>
      </c>
      <c r="Z287" s="661" t="str">
        <f t="shared" si="13"/>
        <v/>
      </c>
    </row>
    <row r="288" spans="1:26" s="128" customFormat="1" hidden="1">
      <c r="A288" s="655">
        <v>2594</v>
      </c>
      <c r="B288" s="656" t="s">
        <v>33</v>
      </c>
      <c r="C288" s="655" t="s">
        <v>2793</v>
      </c>
      <c r="D288" s="656" t="s">
        <v>121</v>
      </c>
      <c r="E288" s="656" t="s">
        <v>121</v>
      </c>
      <c r="F288" s="655">
        <v>64701</v>
      </c>
      <c r="G288" s="656" t="s">
        <v>57</v>
      </c>
      <c r="H288" s="656" t="s">
        <v>1182</v>
      </c>
      <c r="I288" s="656" t="s">
        <v>58</v>
      </c>
      <c r="J288" s="655">
        <v>22</v>
      </c>
      <c r="K288" s="655">
        <v>2</v>
      </c>
      <c r="L288" s="656" t="s">
        <v>52</v>
      </c>
      <c r="M288" s="656" t="s">
        <v>42</v>
      </c>
      <c r="N288" s="656" t="s">
        <v>39</v>
      </c>
      <c r="O288" s="656" t="s">
        <v>39</v>
      </c>
      <c r="P288" s="656" t="s">
        <v>1037</v>
      </c>
      <c r="Q288" s="657">
        <v>24371</v>
      </c>
      <c r="R288" s="657">
        <v>24371</v>
      </c>
      <c r="S288" s="657">
        <v>25103</v>
      </c>
      <c r="T288" s="657">
        <v>25103</v>
      </c>
      <c r="U288" s="657">
        <v>128.92699999999999</v>
      </c>
      <c r="V288" s="655">
        <v>2021</v>
      </c>
      <c r="W288" s="659" t="s">
        <v>3675</v>
      </c>
      <c r="X288" s="660">
        <f t="shared" si="14"/>
        <v>194.70708230238819</v>
      </c>
      <c r="Y288" s="661" t="str">
        <f t="shared" si="12"/>
        <v/>
      </c>
      <c r="Z288" s="661" t="str">
        <f t="shared" si="13"/>
        <v/>
      </c>
    </row>
    <row r="289" spans="1:26" s="128" customFormat="1" hidden="1">
      <c r="A289" s="655">
        <v>2594</v>
      </c>
      <c r="B289" s="656" t="s">
        <v>33</v>
      </c>
      <c r="C289" s="655" t="s">
        <v>2793</v>
      </c>
      <c r="D289" s="656" t="s">
        <v>121</v>
      </c>
      <c r="E289" s="656" t="s">
        <v>121</v>
      </c>
      <c r="F289" s="655">
        <v>64701</v>
      </c>
      <c r="G289" s="656" t="s">
        <v>57</v>
      </c>
      <c r="H289" s="656" t="s">
        <v>1182</v>
      </c>
      <c r="I289" s="656" t="s">
        <v>58</v>
      </c>
      <c r="J289" s="655">
        <v>22</v>
      </c>
      <c r="K289" s="655">
        <v>2</v>
      </c>
      <c r="L289" s="656" t="s">
        <v>52</v>
      </c>
      <c r="M289" s="656" t="s">
        <v>42</v>
      </c>
      <c r="N289" s="656" t="s">
        <v>61</v>
      </c>
      <c r="O289" s="656" t="s">
        <v>61</v>
      </c>
      <c r="P289" s="656" t="s">
        <v>47</v>
      </c>
      <c r="Q289" s="657">
        <v>61204</v>
      </c>
      <c r="R289" s="657">
        <v>61204</v>
      </c>
      <c r="S289" s="657">
        <v>385241</v>
      </c>
      <c r="T289" s="657">
        <v>385241</v>
      </c>
      <c r="U289" s="657">
        <v>11459.073</v>
      </c>
      <c r="V289" s="655">
        <v>2021</v>
      </c>
      <c r="W289" s="659" t="s">
        <v>3675</v>
      </c>
      <c r="X289" s="660">
        <f t="shared" si="14"/>
        <v>33.618862538008088</v>
      </c>
      <c r="Y289" s="661" t="str">
        <f t="shared" si="12"/>
        <v/>
      </c>
      <c r="Z289" s="661" t="str">
        <f t="shared" si="13"/>
        <v/>
      </c>
    </row>
    <row r="290" spans="1:26" s="128" customFormat="1" ht="25" hidden="1">
      <c r="A290" s="655">
        <v>2595</v>
      </c>
      <c r="B290" s="656" t="s">
        <v>33</v>
      </c>
      <c r="C290" s="655" t="s">
        <v>2793</v>
      </c>
      <c r="D290" s="656" t="s">
        <v>669</v>
      </c>
      <c r="E290" s="656" t="s">
        <v>119</v>
      </c>
      <c r="F290" s="655">
        <v>5914</v>
      </c>
      <c r="G290" s="656" t="s">
        <v>57</v>
      </c>
      <c r="H290" s="656" t="s">
        <v>1182</v>
      </c>
      <c r="I290" s="656" t="s">
        <v>58</v>
      </c>
      <c r="J290" s="655">
        <v>22</v>
      </c>
      <c r="K290" s="655">
        <v>2</v>
      </c>
      <c r="L290" s="656" t="s">
        <v>52</v>
      </c>
      <c r="M290" s="656" t="s">
        <v>35</v>
      </c>
      <c r="N290" s="656" t="s">
        <v>36</v>
      </c>
      <c r="O290" s="656" t="s">
        <v>37</v>
      </c>
      <c r="P290" s="656" t="s">
        <v>1176</v>
      </c>
      <c r="Q290" s="657">
        <v>0</v>
      </c>
      <c r="R290" s="657">
        <v>0</v>
      </c>
      <c r="S290" s="657">
        <v>210198</v>
      </c>
      <c r="T290" s="657">
        <v>210198</v>
      </c>
      <c r="U290" s="657">
        <v>23770</v>
      </c>
      <c r="V290" s="655">
        <v>2021</v>
      </c>
      <c r="W290" s="659"/>
      <c r="X290" s="660">
        <f t="shared" si="14"/>
        <v>8.8429953723180486</v>
      </c>
      <c r="Y290" s="661" t="str">
        <f t="shared" si="12"/>
        <v/>
      </c>
      <c r="Z290" s="661" t="str">
        <f t="shared" si="13"/>
        <v/>
      </c>
    </row>
    <row r="291" spans="1:26" s="128" customFormat="1" ht="25" hidden="1">
      <c r="A291" s="655">
        <v>2596</v>
      </c>
      <c r="B291" s="656" t="s">
        <v>33</v>
      </c>
      <c r="C291" s="655" t="s">
        <v>2793</v>
      </c>
      <c r="D291" s="656" t="s">
        <v>670</v>
      </c>
      <c r="E291" s="656" t="s">
        <v>119</v>
      </c>
      <c r="F291" s="655">
        <v>5914</v>
      </c>
      <c r="G291" s="656" t="s">
        <v>57</v>
      </c>
      <c r="H291" s="656" t="s">
        <v>1182</v>
      </c>
      <c r="I291" s="656" t="s">
        <v>58</v>
      </c>
      <c r="J291" s="655">
        <v>22</v>
      </c>
      <c r="K291" s="655">
        <v>2</v>
      </c>
      <c r="L291" s="656" t="s">
        <v>52</v>
      </c>
      <c r="M291" s="656" t="s">
        <v>35</v>
      </c>
      <c r="N291" s="656" t="s">
        <v>36</v>
      </c>
      <c r="O291" s="656" t="s">
        <v>37</v>
      </c>
      <c r="P291" s="656" t="s">
        <v>1176</v>
      </c>
      <c r="Q291" s="657">
        <v>0</v>
      </c>
      <c r="R291" s="657">
        <v>0</v>
      </c>
      <c r="S291" s="657">
        <v>35796</v>
      </c>
      <c r="T291" s="657">
        <v>35796</v>
      </c>
      <c r="U291" s="657">
        <v>4048</v>
      </c>
      <c r="V291" s="655">
        <v>2021</v>
      </c>
      <c r="W291" s="659"/>
      <c r="X291" s="660">
        <f t="shared" si="14"/>
        <v>8.8428853754940704</v>
      </c>
      <c r="Y291" s="661" t="str">
        <f t="shared" si="12"/>
        <v/>
      </c>
      <c r="Z291" s="661" t="str">
        <f t="shared" si="13"/>
        <v/>
      </c>
    </row>
    <row r="292" spans="1:26" s="128" customFormat="1" ht="25" hidden="1">
      <c r="A292" s="655">
        <v>2597</v>
      </c>
      <c r="B292" s="656" t="s">
        <v>33</v>
      </c>
      <c r="C292" s="655" t="s">
        <v>2793</v>
      </c>
      <c r="D292" s="656" t="s">
        <v>671</v>
      </c>
      <c r="E292" s="656" t="s">
        <v>119</v>
      </c>
      <c r="F292" s="655">
        <v>5914</v>
      </c>
      <c r="G292" s="656" t="s">
        <v>57</v>
      </c>
      <c r="H292" s="656" t="s">
        <v>1182</v>
      </c>
      <c r="I292" s="656" t="s">
        <v>58</v>
      </c>
      <c r="J292" s="655">
        <v>22</v>
      </c>
      <c r="K292" s="655">
        <v>2</v>
      </c>
      <c r="L292" s="656" t="s">
        <v>52</v>
      </c>
      <c r="M292" s="656" t="s">
        <v>35</v>
      </c>
      <c r="N292" s="656" t="s">
        <v>36</v>
      </c>
      <c r="O292" s="656" t="s">
        <v>37</v>
      </c>
      <c r="P292" s="656" t="s">
        <v>1176</v>
      </c>
      <c r="Q292" s="657">
        <v>0</v>
      </c>
      <c r="R292" s="657">
        <v>0</v>
      </c>
      <c r="S292" s="657">
        <v>108646</v>
      </c>
      <c r="T292" s="657">
        <v>108646</v>
      </c>
      <c r="U292" s="657">
        <v>12286</v>
      </c>
      <c r="V292" s="655">
        <v>2021</v>
      </c>
      <c r="W292" s="659"/>
      <c r="X292" s="660">
        <f t="shared" si="14"/>
        <v>8.8430734168972815</v>
      </c>
      <c r="Y292" s="661" t="str">
        <f t="shared" si="12"/>
        <v/>
      </c>
      <c r="Z292" s="661" t="str">
        <f t="shared" si="13"/>
        <v/>
      </c>
    </row>
    <row r="293" spans="1:26" s="128" customFormat="1" ht="25" hidden="1">
      <c r="A293" s="655">
        <v>2598</v>
      </c>
      <c r="B293" s="656" t="s">
        <v>33</v>
      </c>
      <c r="C293" s="655" t="s">
        <v>2793</v>
      </c>
      <c r="D293" s="656" t="s">
        <v>672</v>
      </c>
      <c r="E293" s="656" t="s">
        <v>119</v>
      </c>
      <c r="F293" s="655">
        <v>5914</v>
      </c>
      <c r="G293" s="656" t="s">
        <v>57</v>
      </c>
      <c r="H293" s="656" t="s">
        <v>1182</v>
      </c>
      <c r="I293" s="656" t="s">
        <v>58</v>
      </c>
      <c r="J293" s="655">
        <v>22</v>
      </c>
      <c r="K293" s="655">
        <v>2</v>
      </c>
      <c r="L293" s="656" t="s">
        <v>52</v>
      </c>
      <c r="M293" s="656" t="s">
        <v>35</v>
      </c>
      <c r="N293" s="656" t="s">
        <v>36</v>
      </c>
      <c r="O293" s="656" t="s">
        <v>37</v>
      </c>
      <c r="P293" s="656" t="s">
        <v>1176</v>
      </c>
      <c r="Q293" s="657">
        <v>0</v>
      </c>
      <c r="R293" s="657">
        <v>0</v>
      </c>
      <c r="S293" s="657">
        <v>144955</v>
      </c>
      <c r="T293" s="657">
        <v>144955</v>
      </c>
      <c r="U293" s="657">
        <v>16392</v>
      </c>
      <c r="V293" s="655">
        <v>2021</v>
      </c>
      <c r="W293" s="659"/>
      <c r="X293" s="660">
        <f t="shared" si="14"/>
        <v>8.843033186920449</v>
      </c>
      <c r="Y293" s="661" t="str">
        <f t="shared" si="12"/>
        <v/>
      </c>
      <c r="Z293" s="661" t="str">
        <f t="shared" si="13"/>
        <v/>
      </c>
    </row>
    <row r="294" spans="1:26" s="128" customFormat="1" ht="25" hidden="1">
      <c r="A294" s="655">
        <v>2599</v>
      </c>
      <c r="B294" s="656" t="s">
        <v>33</v>
      </c>
      <c r="C294" s="655" t="s">
        <v>2793</v>
      </c>
      <c r="D294" s="656" t="s">
        <v>673</v>
      </c>
      <c r="E294" s="656" t="s">
        <v>119</v>
      </c>
      <c r="F294" s="655">
        <v>5914</v>
      </c>
      <c r="G294" s="656" t="s">
        <v>57</v>
      </c>
      <c r="H294" s="656" t="s">
        <v>1182</v>
      </c>
      <c r="I294" s="656" t="s">
        <v>58</v>
      </c>
      <c r="J294" s="655">
        <v>22</v>
      </c>
      <c r="K294" s="655">
        <v>2</v>
      </c>
      <c r="L294" s="656" t="s">
        <v>52</v>
      </c>
      <c r="M294" s="656" t="s">
        <v>35</v>
      </c>
      <c r="N294" s="656" t="s">
        <v>36</v>
      </c>
      <c r="O294" s="656" t="s">
        <v>37</v>
      </c>
      <c r="P294" s="656" t="s">
        <v>1176</v>
      </c>
      <c r="Q294" s="657">
        <v>0</v>
      </c>
      <c r="R294" s="657">
        <v>0</v>
      </c>
      <c r="S294" s="657">
        <v>613546</v>
      </c>
      <c r="T294" s="657">
        <v>613546</v>
      </c>
      <c r="U294" s="657">
        <v>69382</v>
      </c>
      <c r="V294" s="655">
        <v>2021</v>
      </c>
      <c r="W294" s="659"/>
      <c r="X294" s="660">
        <f t="shared" si="14"/>
        <v>8.8430140382231706</v>
      </c>
      <c r="Y294" s="661" t="str">
        <f t="shared" si="12"/>
        <v/>
      </c>
      <c r="Z294" s="661" t="str">
        <f t="shared" si="13"/>
        <v/>
      </c>
    </row>
    <row r="295" spans="1:26" s="128" customFormat="1" ht="25" hidden="1">
      <c r="A295" s="655">
        <v>2600</v>
      </c>
      <c r="B295" s="656" t="s">
        <v>33</v>
      </c>
      <c r="C295" s="655" t="s">
        <v>2793</v>
      </c>
      <c r="D295" s="656" t="s">
        <v>1685</v>
      </c>
      <c r="E295" s="656" t="s">
        <v>119</v>
      </c>
      <c r="F295" s="655">
        <v>5914</v>
      </c>
      <c r="G295" s="656" t="s">
        <v>57</v>
      </c>
      <c r="H295" s="656" t="s">
        <v>1182</v>
      </c>
      <c r="I295" s="656" t="s">
        <v>58</v>
      </c>
      <c r="J295" s="655">
        <v>22</v>
      </c>
      <c r="K295" s="655">
        <v>2</v>
      </c>
      <c r="L295" s="656" t="s">
        <v>52</v>
      </c>
      <c r="M295" s="656" t="s">
        <v>35</v>
      </c>
      <c r="N295" s="656" t="s">
        <v>36</v>
      </c>
      <c r="O295" s="656" t="s">
        <v>37</v>
      </c>
      <c r="P295" s="656" t="s">
        <v>1176</v>
      </c>
      <c r="Q295" s="657">
        <v>0</v>
      </c>
      <c r="R295" s="657">
        <v>0</v>
      </c>
      <c r="S295" s="657">
        <v>833691</v>
      </c>
      <c r="T295" s="657">
        <v>833691</v>
      </c>
      <c r="U295" s="657">
        <v>94277</v>
      </c>
      <c r="V295" s="655">
        <v>2021</v>
      </c>
      <c r="W295" s="659"/>
      <c r="X295" s="660">
        <f t="shared" si="14"/>
        <v>8.8429945798020722</v>
      </c>
      <c r="Y295" s="661" t="str">
        <f t="shared" si="12"/>
        <v/>
      </c>
      <c r="Z295" s="661" t="str">
        <f t="shared" si="13"/>
        <v/>
      </c>
    </row>
    <row r="296" spans="1:26" s="128" customFormat="1" ht="25" hidden="1">
      <c r="A296" s="655">
        <v>2601</v>
      </c>
      <c r="B296" s="656" t="s">
        <v>33</v>
      </c>
      <c r="C296" s="655" t="s">
        <v>2793</v>
      </c>
      <c r="D296" s="656" t="s">
        <v>674</v>
      </c>
      <c r="E296" s="656" t="s">
        <v>119</v>
      </c>
      <c r="F296" s="655">
        <v>5914</v>
      </c>
      <c r="G296" s="656" t="s">
        <v>57</v>
      </c>
      <c r="H296" s="656" t="s">
        <v>1182</v>
      </c>
      <c r="I296" s="656" t="s">
        <v>58</v>
      </c>
      <c r="J296" s="655">
        <v>22</v>
      </c>
      <c r="K296" s="655">
        <v>2</v>
      </c>
      <c r="L296" s="656" t="s">
        <v>52</v>
      </c>
      <c r="M296" s="656" t="s">
        <v>35</v>
      </c>
      <c r="N296" s="656" t="s">
        <v>36</v>
      </c>
      <c r="O296" s="656" t="s">
        <v>37</v>
      </c>
      <c r="P296" s="656" t="s">
        <v>1176</v>
      </c>
      <c r="Q296" s="657">
        <v>0</v>
      </c>
      <c r="R296" s="657">
        <v>0</v>
      </c>
      <c r="S296" s="657">
        <v>108690</v>
      </c>
      <c r="T296" s="657">
        <v>108690</v>
      </c>
      <c r="U296" s="657">
        <v>12291</v>
      </c>
      <c r="V296" s="655">
        <v>2021</v>
      </c>
      <c r="W296" s="659"/>
      <c r="X296" s="660">
        <f t="shared" si="14"/>
        <v>8.8430558945569935</v>
      </c>
      <c r="Y296" s="661" t="str">
        <f t="shared" si="12"/>
        <v/>
      </c>
      <c r="Z296" s="661" t="str">
        <f t="shared" si="13"/>
        <v/>
      </c>
    </row>
    <row r="297" spans="1:26" s="128" customFormat="1" ht="25" hidden="1">
      <c r="A297" s="655">
        <v>2604</v>
      </c>
      <c r="B297" s="656" t="s">
        <v>33</v>
      </c>
      <c r="C297" s="655" t="s">
        <v>2793</v>
      </c>
      <c r="D297" s="656" t="s">
        <v>675</v>
      </c>
      <c r="E297" s="656" t="s">
        <v>119</v>
      </c>
      <c r="F297" s="655">
        <v>5914</v>
      </c>
      <c r="G297" s="656" t="s">
        <v>57</v>
      </c>
      <c r="H297" s="656" t="s">
        <v>1182</v>
      </c>
      <c r="I297" s="656" t="s">
        <v>58</v>
      </c>
      <c r="J297" s="655">
        <v>22</v>
      </c>
      <c r="K297" s="655">
        <v>2</v>
      </c>
      <c r="L297" s="656" t="s">
        <v>52</v>
      </c>
      <c r="M297" s="656" t="s">
        <v>35</v>
      </c>
      <c r="N297" s="656" t="s">
        <v>36</v>
      </c>
      <c r="O297" s="656" t="s">
        <v>37</v>
      </c>
      <c r="P297" s="656" t="s">
        <v>1176</v>
      </c>
      <c r="Q297" s="657">
        <v>0</v>
      </c>
      <c r="R297" s="657">
        <v>0</v>
      </c>
      <c r="S297" s="657">
        <v>88199</v>
      </c>
      <c r="T297" s="657">
        <v>88199</v>
      </c>
      <c r="U297" s="657">
        <v>9974</v>
      </c>
      <c r="V297" s="655">
        <v>2021</v>
      </c>
      <c r="W297" s="659"/>
      <c r="X297" s="660">
        <f t="shared" si="14"/>
        <v>8.8428915179466614</v>
      </c>
      <c r="Y297" s="661" t="str">
        <f t="shared" si="12"/>
        <v/>
      </c>
      <c r="Z297" s="661" t="str">
        <f t="shared" si="13"/>
        <v/>
      </c>
    </row>
    <row r="298" spans="1:26" s="128" customFormat="1" ht="25" hidden="1">
      <c r="A298" s="655">
        <v>2605</v>
      </c>
      <c r="B298" s="656" t="s">
        <v>33</v>
      </c>
      <c r="C298" s="655" t="s">
        <v>2793</v>
      </c>
      <c r="D298" s="656" t="s">
        <v>676</v>
      </c>
      <c r="E298" s="656" t="s">
        <v>119</v>
      </c>
      <c r="F298" s="655">
        <v>5914</v>
      </c>
      <c r="G298" s="656" t="s">
        <v>57</v>
      </c>
      <c r="H298" s="656" t="s">
        <v>1182</v>
      </c>
      <c r="I298" s="656" t="s">
        <v>58</v>
      </c>
      <c r="J298" s="655">
        <v>22</v>
      </c>
      <c r="K298" s="655">
        <v>2</v>
      </c>
      <c r="L298" s="656" t="s">
        <v>52</v>
      </c>
      <c r="M298" s="656" t="s">
        <v>35</v>
      </c>
      <c r="N298" s="656" t="s">
        <v>36</v>
      </c>
      <c r="O298" s="656" t="s">
        <v>37</v>
      </c>
      <c r="P298" s="656" t="s">
        <v>1176</v>
      </c>
      <c r="Q298" s="657">
        <v>0</v>
      </c>
      <c r="R298" s="657">
        <v>0</v>
      </c>
      <c r="S298" s="657">
        <v>1556803</v>
      </c>
      <c r="T298" s="657">
        <v>1556803</v>
      </c>
      <c r="U298" s="657">
        <v>176049</v>
      </c>
      <c r="V298" s="655">
        <v>2021</v>
      </c>
      <c r="W298" s="659"/>
      <c r="X298" s="660">
        <f t="shared" si="14"/>
        <v>8.8430096166408223</v>
      </c>
      <c r="Y298" s="661" t="str">
        <f t="shared" si="12"/>
        <v/>
      </c>
      <c r="Z298" s="661" t="str">
        <f t="shared" si="13"/>
        <v/>
      </c>
    </row>
    <row r="299" spans="1:26" s="128" customFormat="1" ht="25" hidden="1">
      <c r="A299" s="655">
        <v>2606</v>
      </c>
      <c r="B299" s="656" t="s">
        <v>33</v>
      </c>
      <c r="C299" s="655" t="s">
        <v>2793</v>
      </c>
      <c r="D299" s="656" t="s">
        <v>677</v>
      </c>
      <c r="E299" s="656" t="s">
        <v>119</v>
      </c>
      <c r="F299" s="655">
        <v>5914</v>
      </c>
      <c r="G299" s="656" t="s">
        <v>57</v>
      </c>
      <c r="H299" s="656" t="s">
        <v>1182</v>
      </c>
      <c r="I299" s="656" t="s">
        <v>58</v>
      </c>
      <c r="J299" s="655">
        <v>22</v>
      </c>
      <c r="K299" s="655">
        <v>2</v>
      </c>
      <c r="L299" s="656" t="s">
        <v>52</v>
      </c>
      <c r="M299" s="656" t="s">
        <v>35</v>
      </c>
      <c r="N299" s="656" t="s">
        <v>36</v>
      </c>
      <c r="O299" s="656" t="s">
        <v>37</v>
      </c>
      <c r="P299" s="656" t="s">
        <v>1176</v>
      </c>
      <c r="Q299" s="657">
        <v>0</v>
      </c>
      <c r="R299" s="657">
        <v>0</v>
      </c>
      <c r="S299" s="657">
        <v>696873</v>
      </c>
      <c r="T299" s="657">
        <v>696873</v>
      </c>
      <c r="U299" s="657">
        <v>78805</v>
      </c>
      <c r="V299" s="655">
        <v>2021</v>
      </c>
      <c r="W299" s="659"/>
      <c r="X299" s="660">
        <f t="shared" si="14"/>
        <v>8.8430048854768106</v>
      </c>
      <c r="Y299" s="661" t="str">
        <f t="shared" si="12"/>
        <v/>
      </c>
      <c r="Z299" s="661" t="str">
        <f t="shared" si="13"/>
        <v/>
      </c>
    </row>
    <row r="300" spans="1:26" s="128" customFormat="1" ht="25" hidden="1">
      <c r="A300" s="655">
        <v>2607</v>
      </c>
      <c r="B300" s="656" t="s">
        <v>33</v>
      </c>
      <c r="C300" s="655" t="s">
        <v>2793</v>
      </c>
      <c r="D300" s="656" t="s">
        <v>678</v>
      </c>
      <c r="E300" s="656" t="s">
        <v>119</v>
      </c>
      <c r="F300" s="655">
        <v>5914</v>
      </c>
      <c r="G300" s="656" t="s">
        <v>57</v>
      </c>
      <c r="H300" s="656" t="s">
        <v>1182</v>
      </c>
      <c r="I300" s="656" t="s">
        <v>58</v>
      </c>
      <c r="J300" s="655">
        <v>22</v>
      </c>
      <c r="K300" s="655">
        <v>2</v>
      </c>
      <c r="L300" s="656" t="s">
        <v>52</v>
      </c>
      <c r="M300" s="656" t="s">
        <v>35</v>
      </c>
      <c r="N300" s="656" t="s">
        <v>36</v>
      </c>
      <c r="O300" s="656" t="s">
        <v>37</v>
      </c>
      <c r="P300" s="656" t="s">
        <v>1176</v>
      </c>
      <c r="Q300" s="657">
        <v>0</v>
      </c>
      <c r="R300" s="657">
        <v>0</v>
      </c>
      <c r="S300" s="657">
        <v>78597</v>
      </c>
      <c r="T300" s="657">
        <v>78597</v>
      </c>
      <c r="U300" s="657">
        <v>8888</v>
      </c>
      <c r="V300" s="655">
        <v>2021</v>
      </c>
      <c r="W300" s="659"/>
      <c r="X300" s="660">
        <f t="shared" si="14"/>
        <v>8.8430468046804673</v>
      </c>
      <c r="Y300" s="661" t="str">
        <f t="shared" si="12"/>
        <v/>
      </c>
      <c r="Z300" s="661" t="str">
        <f t="shared" si="13"/>
        <v/>
      </c>
    </row>
    <row r="301" spans="1:26" s="128" customFormat="1" ht="25" hidden="1">
      <c r="A301" s="655">
        <v>2608</v>
      </c>
      <c r="B301" s="656" t="s">
        <v>33</v>
      </c>
      <c r="C301" s="655" t="s">
        <v>2793</v>
      </c>
      <c r="D301" s="656" t="s">
        <v>679</v>
      </c>
      <c r="E301" s="656" t="s">
        <v>119</v>
      </c>
      <c r="F301" s="655">
        <v>5914</v>
      </c>
      <c r="G301" s="656" t="s">
        <v>57</v>
      </c>
      <c r="H301" s="656" t="s">
        <v>1182</v>
      </c>
      <c r="I301" s="656" t="s">
        <v>58</v>
      </c>
      <c r="J301" s="655">
        <v>22</v>
      </c>
      <c r="K301" s="655">
        <v>2</v>
      </c>
      <c r="L301" s="656" t="s">
        <v>52</v>
      </c>
      <c r="M301" s="656" t="s">
        <v>35</v>
      </c>
      <c r="N301" s="656" t="s">
        <v>36</v>
      </c>
      <c r="O301" s="656" t="s">
        <v>37</v>
      </c>
      <c r="P301" s="656" t="s">
        <v>1176</v>
      </c>
      <c r="Q301" s="657">
        <v>0</v>
      </c>
      <c r="R301" s="657">
        <v>0</v>
      </c>
      <c r="S301" s="657">
        <v>141701</v>
      </c>
      <c r="T301" s="657">
        <v>141701</v>
      </c>
      <c r="U301" s="657">
        <v>16024</v>
      </c>
      <c r="V301" s="655">
        <v>2021</v>
      </c>
      <c r="W301" s="659"/>
      <c r="X301" s="660">
        <f t="shared" si="14"/>
        <v>8.843047928107838</v>
      </c>
      <c r="Y301" s="661" t="str">
        <f t="shared" si="12"/>
        <v/>
      </c>
      <c r="Z301" s="661" t="str">
        <f t="shared" si="13"/>
        <v/>
      </c>
    </row>
    <row r="302" spans="1:26" s="128" customFormat="1" ht="25" hidden="1">
      <c r="A302" s="655">
        <v>2609</v>
      </c>
      <c r="B302" s="656" t="s">
        <v>33</v>
      </c>
      <c r="C302" s="655" t="s">
        <v>2793</v>
      </c>
      <c r="D302" s="656" t="s">
        <v>680</v>
      </c>
      <c r="E302" s="656" t="s">
        <v>119</v>
      </c>
      <c r="F302" s="655">
        <v>5914</v>
      </c>
      <c r="G302" s="656" t="s">
        <v>57</v>
      </c>
      <c r="H302" s="656" t="s">
        <v>1182</v>
      </c>
      <c r="I302" s="656" t="s">
        <v>58</v>
      </c>
      <c r="J302" s="655">
        <v>22</v>
      </c>
      <c r="K302" s="655">
        <v>2</v>
      </c>
      <c r="L302" s="656" t="s">
        <v>52</v>
      </c>
      <c r="M302" s="656" t="s">
        <v>35</v>
      </c>
      <c r="N302" s="656" t="s">
        <v>36</v>
      </c>
      <c r="O302" s="656" t="s">
        <v>37</v>
      </c>
      <c r="P302" s="656" t="s">
        <v>1176</v>
      </c>
      <c r="Q302" s="657">
        <v>0</v>
      </c>
      <c r="R302" s="657">
        <v>0</v>
      </c>
      <c r="S302" s="657">
        <v>1563575</v>
      </c>
      <c r="T302" s="657">
        <v>1563575</v>
      </c>
      <c r="U302" s="657">
        <v>176815</v>
      </c>
      <c r="V302" s="655">
        <v>2021</v>
      </c>
      <c r="W302" s="659"/>
      <c r="X302" s="660">
        <f t="shared" si="14"/>
        <v>8.8429997454967051</v>
      </c>
      <c r="Y302" s="661" t="str">
        <f t="shared" si="12"/>
        <v/>
      </c>
      <c r="Z302" s="661" t="str">
        <f t="shared" si="13"/>
        <v/>
      </c>
    </row>
    <row r="303" spans="1:26" s="128" customFormat="1" ht="25" hidden="1">
      <c r="A303" s="655">
        <v>2610</v>
      </c>
      <c r="B303" s="656" t="s">
        <v>33</v>
      </c>
      <c r="C303" s="655" t="s">
        <v>2793</v>
      </c>
      <c r="D303" s="656" t="s">
        <v>681</v>
      </c>
      <c r="E303" s="656" t="s">
        <v>119</v>
      </c>
      <c r="F303" s="655">
        <v>5914</v>
      </c>
      <c r="G303" s="656" t="s">
        <v>57</v>
      </c>
      <c r="H303" s="656" t="s">
        <v>1182</v>
      </c>
      <c r="I303" s="656" t="s">
        <v>58</v>
      </c>
      <c r="J303" s="655">
        <v>22</v>
      </c>
      <c r="K303" s="655">
        <v>2</v>
      </c>
      <c r="L303" s="656" t="s">
        <v>52</v>
      </c>
      <c r="M303" s="656" t="s">
        <v>35</v>
      </c>
      <c r="N303" s="656" t="s">
        <v>36</v>
      </c>
      <c r="O303" s="656" t="s">
        <v>37</v>
      </c>
      <c r="P303" s="656" t="s">
        <v>1176</v>
      </c>
      <c r="Q303" s="657">
        <v>0</v>
      </c>
      <c r="R303" s="657">
        <v>0</v>
      </c>
      <c r="S303" s="657">
        <v>255332</v>
      </c>
      <c r="T303" s="657">
        <v>255332</v>
      </c>
      <c r="U303" s="657">
        <v>28874</v>
      </c>
      <c r="V303" s="655">
        <v>2021</v>
      </c>
      <c r="W303" s="659"/>
      <c r="X303" s="660">
        <f t="shared" si="14"/>
        <v>8.8429729168109716</v>
      </c>
      <c r="Y303" s="661" t="str">
        <f t="shared" si="12"/>
        <v/>
      </c>
      <c r="Z303" s="661" t="str">
        <f t="shared" si="13"/>
        <v/>
      </c>
    </row>
    <row r="304" spans="1:26" s="128" customFormat="1" ht="25" hidden="1">
      <c r="A304" s="655">
        <v>2611</v>
      </c>
      <c r="B304" s="656" t="s">
        <v>33</v>
      </c>
      <c r="C304" s="655" t="s">
        <v>2793</v>
      </c>
      <c r="D304" s="656" t="s">
        <v>682</v>
      </c>
      <c r="E304" s="656" t="s">
        <v>119</v>
      </c>
      <c r="F304" s="655">
        <v>5914</v>
      </c>
      <c r="G304" s="656" t="s">
        <v>57</v>
      </c>
      <c r="H304" s="656" t="s">
        <v>1182</v>
      </c>
      <c r="I304" s="656" t="s">
        <v>58</v>
      </c>
      <c r="J304" s="655">
        <v>22</v>
      </c>
      <c r="K304" s="655">
        <v>2</v>
      </c>
      <c r="L304" s="656" t="s">
        <v>52</v>
      </c>
      <c r="M304" s="656" t="s">
        <v>35</v>
      </c>
      <c r="N304" s="656" t="s">
        <v>36</v>
      </c>
      <c r="O304" s="656" t="s">
        <v>37</v>
      </c>
      <c r="P304" s="656" t="s">
        <v>1176</v>
      </c>
      <c r="Q304" s="657">
        <v>0</v>
      </c>
      <c r="R304" s="657">
        <v>0</v>
      </c>
      <c r="S304" s="657">
        <v>679177</v>
      </c>
      <c r="T304" s="657">
        <v>679177</v>
      </c>
      <c r="U304" s="657">
        <v>76804</v>
      </c>
      <c r="V304" s="655">
        <v>2021</v>
      </c>
      <c r="W304" s="659"/>
      <c r="X304" s="660">
        <f t="shared" si="14"/>
        <v>8.8429899484401862</v>
      </c>
      <c r="Y304" s="661" t="str">
        <f t="shared" si="12"/>
        <v/>
      </c>
      <c r="Z304" s="661" t="str">
        <f t="shared" si="13"/>
        <v/>
      </c>
    </row>
    <row r="305" spans="1:26" s="128" customFormat="1" ht="25" hidden="1">
      <c r="A305" s="655">
        <v>2612</v>
      </c>
      <c r="B305" s="656" t="s">
        <v>33</v>
      </c>
      <c r="C305" s="655" t="s">
        <v>2793</v>
      </c>
      <c r="D305" s="656" t="s">
        <v>122</v>
      </c>
      <c r="E305" s="656" t="s">
        <v>119</v>
      </c>
      <c r="F305" s="655">
        <v>5914</v>
      </c>
      <c r="G305" s="656" t="s">
        <v>57</v>
      </c>
      <c r="H305" s="656" t="s">
        <v>1182</v>
      </c>
      <c r="I305" s="656" t="s">
        <v>58</v>
      </c>
      <c r="J305" s="655">
        <v>22</v>
      </c>
      <c r="K305" s="655">
        <v>2</v>
      </c>
      <c r="L305" s="656" t="s">
        <v>52</v>
      </c>
      <c r="M305" s="656" t="s">
        <v>35</v>
      </c>
      <c r="N305" s="656" t="s">
        <v>36</v>
      </c>
      <c r="O305" s="656" t="s">
        <v>37</v>
      </c>
      <c r="P305" s="656" t="s">
        <v>1176</v>
      </c>
      <c r="Q305" s="657">
        <v>0</v>
      </c>
      <c r="R305" s="657">
        <v>0</v>
      </c>
      <c r="S305" s="657">
        <v>1976215</v>
      </c>
      <c r="T305" s="657">
        <v>1976215</v>
      </c>
      <c r="U305" s="657">
        <v>223478</v>
      </c>
      <c r="V305" s="655">
        <v>2021</v>
      </c>
      <c r="W305" s="659"/>
      <c r="X305" s="660">
        <f t="shared" si="14"/>
        <v>8.8429957311234215</v>
      </c>
      <c r="Y305" s="661" t="str">
        <f t="shared" si="12"/>
        <v/>
      </c>
      <c r="Z305" s="661" t="str">
        <f t="shared" si="13"/>
        <v/>
      </c>
    </row>
    <row r="306" spans="1:26" s="128" customFormat="1" ht="25" hidden="1">
      <c r="A306" s="655">
        <v>2613</v>
      </c>
      <c r="B306" s="656" t="s">
        <v>33</v>
      </c>
      <c r="C306" s="655" t="s">
        <v>2793</v>
      </c>
      <c r="D306" s="656" t="s">
        <v>683</v>
      </c>
      <c r="E306" s="656" t="s">
        <v>119</v>
      </c>
      <c r="F306" s="655">
        <v>5914</v>
      </c>
      <c r="G306" s="656" t="s">
        <v>57</v>
      </c>
      <c r="H306" s="656" t="s">
        <v>1182</v>
      </c>
      <c r="I306" s="656" t="s">
        <v>58</v>
      </c>
      <c r="J306" s="655">
        <v>22</v>
      </c>
      <c r="K306" s="655">
        <v>2</v>
      </c>
      <c r="L306" s="656" t="s">
        <v>52</v>
      </c>
      <c r="M306" s="656" t="s">
        <v>35</v>
      </c>
      <c r="N306" s="656" t="s">
        <v>36</v>
      </c>
      <c r="O306" s="656" t="s">
        <v>37</v>
      </c>
      <c r="P306" s="656" t="s">
        <v>1176</v>
      </c>
      <c r="Q306" s="657">
        <v>0</v>
      </c>
      <c r="R306" s="657">
        <v>0</v>
      </c>
      <c r="S306" s="657">
        <v>803918</v>
      </c>
      <c r="T306" s="657">
        <v>803918</v>
      </c>
      <c r="U306" s="657">
        <v>90910</v>
      </c>
      <c r="V306" s="655">
        <v>2021</v>
      </c>
      <c r="W306" s="659"/>
      <c r="X306" s="660">
        <f t="shared" si="14"/>
        <v>8.8430095699043001</v>
      </c>
      <c r="Y306" s="661" t="str">
        <f t="shared" si="12"/>
        <v/>
      </c>
      <c r="Z306" s="661" t="str">
        <f t="shared" si="13"/>
        <v/>
      </c>
    </row>
    <row r="307" spans="1:26" s="128" customFormat="1" ht="25" hidden="1">
      <c r="A307" s="655">
        <v>2614</v>
      </c>
      <c r="B307" s="656" t="s">
        <v>33</v>
      </c>
      <c r="C307" s="655" t="s">
        <v>2793</v>
      </c>
      <c r="D307" s="656" t="s">
        <v>684</v>
      </c>
      <c r="E307" s="656" t="s">
        <v>119</v>
      </c>
      <c r="F307" s="655">
        <v>5914</v>
      </c>
      <c r="G307" s="656" t="s">
        <v>57</v>
      </c>
      <c r="H307" s="656" t="s">
        <v>1182</v>
      </c>
      <c r="I307" s="656" t="s">
        <v>58</v>
      </c>
      <c r="J307" s="655">
        <v>22</v>
      </c>
      <c r="K307" s="655">
        <v>2</v>
      </c>
      <c r="L307" s="656" t="s">
        <v>52</v>
      </c>
      <c r="M307" s="656" t="s">
        <v>35</v>
      </c>
      <c r="N307" s="656" t="s">
        <v>36</v>
      </c>
      <c r="O307" s="656" t="s">
        <v>37</v>
      </c>
      <c r="P307" s="656" t="s">
        <v>1176</v>
      </c>
      <c r="Q307" s="657">
        <v>0</v>
      </c>
      <c r="R307" s="657">
        <v>0</v>
      </c>
      <c r="S307" s="657">
        <v>1152466</v>
      </c>
      <c r="T307" s="657">
        <v>1152466</v>
      </c>
      <c r="U307" s="657">
        <v>130325</v>
      </c>
      <c r="V307" s="655">
        <v>2021</v>
      </c>
      <c r="W307" s="659"/>
      <c r="X307" s="660">
        <f t="shared" si="14"/>
        <v>8.8430155380778821</v>
      </c>
      <c r="Y307" s="661" t="str">
        <f t="shared" si="12"/>
        <v/>
      </c>
      <c r="Z307" s="661" t="str">
        <f t="shared" si="13"/>
        <v/>
      </c>
    </row>
    <row r="308" spans="1:26" s="128" customFormat="1" ht="25" hidden="1">
      <c r="A308" s="655">
        <v>2616</v>
      </c>
      <c r="B308" s="656" t="s">
        <v>33</v>
      </c>
      <c r="C308" s="655" t="s">
        <v>2793</v>
      </c>
      <c r="D308" s="656" t="s">
        <v>685</v>
      </c>
      <c r="E308" s="656" t="s">
        <v>119</v>
      </c>
      <c r="F308" s="655">
        <v>5914</v>
      </c>
      <c r="G308" s="656" t="s">
        <v>57</v>
      </c>
      <c r="H308" s="656" t="s">
        <v>1182</v>
      </c>
      <c r="I308" s="656" t="s">
        <v>58</v>
      </c>
      <c r="J308" s="655">
        <v>22</v>
      </c>
      <c r="K308" s="655">
        <v>2</v>
      </c>
      <c r="L308" s="656" t="s">
        <v>52</v>
      </c>
      <c r="M308" s="656" t="s">
        <v>35</v>
      </c>
      <c r="N308" s="656" t="s">
        <v>36</v>
      </c>
      <c r="O308" s="656" t="s">
        <v>37</v>
      </c>
      <c r="P308" s="656" t="s">
        <v>1176</v>
      </c>
      <c r="Q308" s="657">
        <v>0</v>
      </c>
      <c r="R308" s="657">
        <v>0</v>
      </c>
      <c r="S308" s="657">
        <v>208191</v>
      </c>
      <c r="T308" s="657">
        <v>208191</v>
      </c>
      <c r="U308" s="657">
        <v>23543</v>
      </c>
      <c r="V308" s="655">
        <v>2021</v>
      </c>
      <c r="W308" s="659"/>
      <c r="X308" s="660">
        <f t="shared" si="14"/>
        <v>8.8430106613430741</v>
      </c>
      <c r="Y308" s="661" t="str">
        <f t="shared" si="12"/>
        <v/>
      </c>
      <c r="Z308" s="661" t="str">
        <f t="shared" si="13"/>
        <v/>
      </c>
    </row>
    <row r="309" spans="1:26" s="128" customFormat="1" ht="25" hidden="1">
      <c r="A309" s="655">
        <v>2617</v>
      </c>
      <c r="B309" s="656" t="s">
        <v>33</v>
      </c>
      <c r="C309" s="655" t="s">
        <v>2793</v>
      </c>
      <c r="D309" s="656" t="s">
        <v>686</v>
      </c>
      <c r="E309" s="656" t="s">
        <v>119</v>
      </c>
      <c r="F309" s="655">
        <v>5914</v>
      </c>
      <c r="G309" s="656" t="s">
        <v>57</v>
      </c>
      <c r="H309" s="656" t="s">
        <v>1182</v>
      </c>
      <c r="I309" s="656" t="s">
        <v>58</v>
      </c>
      <c r="J309" s="655">
        <v>22</v>
      </c>
      <c r="K309" s="655">
        <v>2</v>
      </c>
      <c r="L309" s="656" t="s">
        <v>52</v>
      </c>
      <c r="M309" s="656" t="s">
        <v>35</v>
      </c>
      <c r="N309" s="656" t="s">
        <v>36</v>
      </c>
      <c r="O309" s="656" t="s">
        <v>37</v>
      </c>
      <c r="P309" s="656" t="s">
        <v>1176</v>
      </c>
      <c r="Q309" s="657">
        <v>0</v>
      </c>
      <c r="R309" s="657">
        <v>0</v>
      </c>
      <c r="S309" s="657">
        <v>188514</v>
      </c>
      <c r="T309" s="657">
        <v>188514</v>
      </c>
      <c r="U309" s="657">
        <v>21318</v>
      </c>
      <c r="V309" s="655">
        <v>2021</v>
      </c>
      <c r="W309" s="659"/>
      <c r="X309" s="660">
        <f t="shared" si="14"/>
        <v>8.8429496200394038</v>
      </c>
      <c r="Y309" s="661" t="str">
        <f t="shared" si="12"/>
        <v/>
      </c>
      <c r="Z309" s="661" t="str">
        <f t="shared" si="13"/>
        <v/>
      </c>
    </row>
    <row r="310" spans="1:26" s="128" customFormat="1" ht="25" hidden="1">
      <c r="A310" s="655">
        <v>2619</v>
      </c>
      <c r="B310" s="656" t="s">
        <v>33</v>
      </c>
      <c r="C310" s="655" t="s">
        <v>2793</v>
      </c>
      <c r="D310" s="656" t="s">
        <v>687</v>
      </c>
      <c r="E310" s="656" t="s">
        <v>119</v>
      </c>
      <c r="F310" s="655">
        <v>5914</v>
      </c>
      <c r="G310" s="656" t="s">
        <v>57</v>
      </c>
      <c r="H310" s="656" t="s">
        <v>1182</v>
      </c>
      <c r="I310" s="656" t="s">
        <v>58</v>
      </c>
      <c r="J310" s="655">
        <v>22</v>
      </c>
      <c r="K310" s="655">
        <v>2</v>
      </c>
      <c r="L310" s="656" t="s">
        <v>52</v>
      </c>
      <c r="M310" s="656" t="s">
        <v>35</v>
      </c>
      <c r="N310" s="656" t="s">
        <v>36</v>
      </c>
      <c r="O310" s="656" t="s">
        <v>37</v>
      </c>
      <c r="P310" s="656" t="s">
        <v>1176</v>
      </c>
      <c r="Q310" s="657">
        <v>0</v>
      </c>
      <c r="R310" s="657">
        <v>0</v>
      </c>
      <c r="S310" s="657">
        <v>1248366</v>
      </c>
      <c r="T310" s="657">
        <v>1248366</v>
      </c>
      <c r="U310" s="657">
        <v>141170</v>
      </c>
      <c r="V310" s="655">
        <v>2021</v>
      </c>
      <c r="W310" s="659"/>
      <c r="X310" s="660">
        <f t="shared" si="14"/>
        <v>8.8429978040660195</v>
      </c>
      <c r="Y310" s="661" t="str">
        <f t="shared" si="12"/>
        <v/>
      </c>
      <c r="Z310" s="661" t="str">
        <f t="shared" si="13"/>
        <v/>
      </c>
    </row>
    <row r="311" spans="1:26" s="128" customFormat="1" ht="25" hidden="1">
      <c r="A311" s="655">
        <v>2621</v>
      </c>
      <c r="B311" s="656" t="s">
        <v>33</v>
      </c>
      <c r="C311" s="655" t="s">
        <v>2793</v>
      </c>
      <c r="D311" s="656" t="s">
        <v>688</v>
      </c>
      <c r="E311" s="656" t="s">
        <v>119</v>
      </c>
      <c r="F311" s="655">
        <v>5914</v>
      </c>
      <c r="G311" s="656" t="s">
        <v>57</v>
      </c>
      <c r="H311" s="656" t="s">
        <v>1182</v>
      </c>
      <c r="I311" s="656" t="s">
        <v>58</v>
      </c>
      <c r="J311" s="655">
        <v>22</v>
      </c>
      <c r="K311" s="655">
        <v>2</v>
      </c>
      <c r="L311" s="656" t="s">
        <v>52</v>
      </c>
      <c r="M311" s="656" t="s">
        <v>35</v>
      </c>
      <c r="N311" s="656" t="s">
        <v>36</v>
      </c>
      <c r="O311" s="656" t="s">
        <v>37</v>
      </c>
      <c r="P311" s="656" t="s">
        <v>1176</v>
      </c>
      <c r="Q311" s="657">
        <v>0</v>
      </c>
      <c r="R311" s="657">
        <v>0</v>
      </c>
      <c r="S311" s="657">
        <v>176621</v>
      </c>
      <c r="T311" s="657">
        <v>176621</v>
      </c>
      <c r="U311" s="657">
        <v>19973</v>
      </c>
      <c r="V311" s="655">
        <v>2021</v>
      </c>
      <c r="W311" s="659"/>
      <c r="X311" s="660">
        <f t="shared" si="14"/>
        <v>8.8429880338456925</v>
      </c>
      <c r="Y311" s="661" t="str">
        <f t="shared" si="12"/>
        <v/>
      </c>
      <c r="Z311" s="661" t="str">
        <f t="shared" si="13"/>
        <v/>
      </c>
    </row>
    <row r="312" spans="1:26" s="128" customFormat="1" ht="25" hidden="1">
      <c r="A312" s="655">
        <v>2623</v>
      </c>
      <c r="B312" s="656" t="s">
        <v>33</v>
      </c>
      <c r="C312" s="655" t="s">
        <v>2793</v>
      </c>
      <c r="D312" s="656" t="s">
        <v>689</v>
      </c>
      <c r="E312" s="656" t="s">
        <v>119</v>
      </c>
      <c r="F312" s="655">
        <v>5914</v>
      </c>
      <c r="G312" s="656" t="s">
        <v>57</v>
      </c>
      <c r="H312" s="656" t="s">
        <v>1182</v>
      </c>
      <c r="I312" s="656" t="s">
        <v>58</v>
      </c>
      <c r="J312" s="655">
        <v>22</v>
      </c>
      <c r="K312" s="655">
        <v>2</v>
      </c>
      <c r="L312" s="656" t="s">
        <v>52</v>
      </c>
      <c r="M312" s="656" t="s">
        <v>35</v>
      </c>
      <c r="N312" s="656" t="s">
        <v>36</v>
      </c>
      <c r="O312" s="656" t="s">
        <v>37</v>
      </c>
      <c r="P312" s="656" t="s">
        <v>1176</v>
      </c>
      <c r="Q312" s="657">
        <v>0</v>
      </c>
      <c r="R312" s="657">
        <v>0</v>
      </c>
      <c r="S312" s="657">
        <v>113967</v>
      </c>
      <c r="T312" s="657">
        <v>113967</v>
      </c>
      <c r="U312" s="657">
        <v>12888</v>
      </c>
      <c r="V312" s="655">
        <v>2021</v>
      </c>
      <c r="W312" s="659"/>
      <c r="X312" s="660">
        <f t="shared" si="14"/>
        <v>8.8428770949720672</v>
      </c>
      <c r="Y312" s="661" t="str">
        <f t="shared" si="12"/>
        <v/>
      </c>
      <c r="Z312" s="661" t="str">
        <f t="shared" si="13"/>
        <v/>
      </c>
    </row>
    <row r="313" spans="1:26" s="128" customFormat="1" ht="25" hidden="1">
      <c r="A313" s="655">
        <v>2624</v>
      </c>
      <c r="B313" s="656" t="s">
        <v>33</v>
      </c>
      <c r="C313" s="655" t="s">
        <v>2793</v>
      </c>
      <c r="D313" s="656" t="s">
        <v>690</v>
      </c>
      <c r="E313" s="656" t="s">
        <v>119</v>
      </c>
      <c r="F313" s="655">
        <v>5914</v>
      </c>
      <c r="G313" s="656" t="s">
        <v>57</v>
      </c>
      <c r="H313" s="656" t="s">
        <v>1182</v>
      </c>
      <c r="I313" s="656" t="s">
        <v>58</v>
      </c>
      <c r="J313" s="655">
        <v>22</v>
      </c>
      <c r="K313" s="655">
        <v>2</v>
      </c>
      <c r="L313" s="656" t="s">
        <v>52</v>
      </c>
      <c r="M313" s="656" t="s">
        <v>35</v>
      </c>
      <c r="N313" s="656" t="s">
        <v>36</v>
      </c>
      <c r="O313" s="656" t="s">
        <v>37</v>
      </c>
      <c r="P313" s="656" t="s">
        <v>1176</v>
      </c>
      <c r="Q313" s="657">
        <v>0</v>
      </c>
      <c r="R313" s="657">
        <v>0</v>
      </c>
      <c r="S313" s="657">
        <v>30649</v>
      </c>
      <c r="T313" s="657">
        <v>30649</v>
      </c>
      <c r="U313" s="657">
        <v>3466</v>
      </c>
      <c r="V313" s="655">
        <v>2021</v>
      </c>
      <c r="W313" s="659"/>
      <c r="X313" s="660">
        <f t="shared" si="14"/>
        <v>8.8427582227351422</v>
      </c>
      <c r="Y313" s="661" t="str">
        <f t="shared" si="12"/>
        <v/>
      </c>
      <c r="Z313" s="661" t="str">
        <f t="shared" si="13"/>
        <v/>
      </c>
    </row>
    <row r="314" spans="1:26" s="128" customFormat="1" hidden="1">
      <c r="A314" s="655">
        <v>2625</v>
      </c>
      <c r="B314" s="656" t="s">
        <v>33</v>
      </c>
      <c r="C314" s="655" t="s">
        <v>2793</v>
      </c>
      <c r="D314" s="656" t="s">
        <v>123</v>
      </c>
      <c r="E314" s="656" t="s">
        <v>3102</v>
      </c>
      <c r="F314" s="655">
        <v>64082</v>
      </c>
      <c r="G314" s="656" t="s">
        <v>57</v>
      </c>
      <c r="H314" s="656" t="s">
        <v>1182</v>
      </c>
      <c r="I314" s="656" t="s">
        <v>58</v>
      </c>
      <c r="J314" s="655">
        <v>22</v>
      </c>
      <c r="K314" s="655">
        <v>2</v>
      </c>
      <c r="L314" s="656" t="s">
        <v>52</v>
      </c>
      <c r="M314" s="656" t="s">
        <v>42</v>
      </c>
      <c r="N314" s="656" t="s">
        <v>39</v>
      </c>
      <c r="O314" s="656" t="s">
        <v>39</v>
      </c>
      <c r="P314" s="656" t="s">
        <v>1037</v>
      </c>
      <c r="Q314" s="657">
        <v>9811290</v>
      </c>
      <c r="R314" s="657">
        <v>9811290</v>
      </c>
      <c r="S314" s="657">
        <v>10062986</v>
      </c>
      <c r="T314" s="657">
        <v>10062986</v>
      </c>
      <c r="U314" s="657">
        <v>979104.77</v>
      </c>
      <c r="V314" s="655">
        <v>2021</v>
      </c>
      <c r="W314" s="659" t="s">
        <v>3675</v>
      </c>
      <c r="X314" s="660">
        <f t="shared" si="14"/>
        <v>10.277741778339003</v>
      </c>
      <c r="Y314" s="661" t="str">
        <f t="shared" si="12"/>
        <v/>
      </c>
      <c r="Z314" s="661" t="str">
        <f t="shared" si="13"/>
        <v/>
      </c>
    </row>
    <row r="315" spans="1:26" s="128" customFormat="1" hidden="1">
      <c r="A315" s="655">
        <v>2625</v>
      </c>
      <c r="B315" s="656" t="s">
        <v>33</v>
      </c>
      <c r="C315" s="655" t="s">
        <v>2793</v>
      </c>
      <c r="D315" s="656" t="s">
        <v>123</v>
      </c>
      <c r="E315" s="656" t="s">
        <v>3102</v>
      </c>
      <c r="F315" s="655">
        <v>64082</v>
      </c>
      <c r="G315" s="656" t="s">
        <v>57</v>
      </c>
      <c r="H315" s="656" t="s">
        <v>1182</v>
      </c>
      <c r="I315" s="656" t="s">
        <v>58</v>
      </c>
      <c r="J315" s="655">
        <v>22</v>
      </c>
      <c r="K315" s="655">
        <v>2</v>
      </c>
      <c r="L315" s="656" t="s">
        <v>52</v>
      </c>
      <c r="M315" s="656" t="s">
        <v>42</v>
      </c>
      <c r="N315" s="656" t="s">
        <v>61</v>
      </c>
      <c r="O315" s="656" t="s">
        <v>61</v>
      </c>
      <c r="P315" s="656" t="s">
        <v>47</v>
      </c>
      <c r="Q315" s="657">
        <v>82</v>
      </c>
      <c r="R315" s="657">
        <v>82</v>
      </c>
      <c r="S315" s="657">
        <v>511</v>
      </c>
      <c r="T315" s="657">
        <v>511</v>
      </c>
      <c r="U315" s="657">
        <v>51.23</v>
      </c>
      <c r="V315" s="655">
        <v>2021</v>
      </c>
      <c r="W315" s="659" t="s">
        <v>3675</v>
      </c>
      <c r="X315" s="660">
        <f t="shared" si="14"/>
        <v>9.9746242436072627</v>
      </c>
      <c r="Y315" s="661" t="str">
        <f t="shared" si="12"/>
        <v/>
      </c>
      <c r="Z315" s="661" t="str">
        <f t="shared" si="13"/>
        <v/>
      </c>
    </row>
    <row r="316" spans="1:26" s="128" customFormat="1" hidden="1">
      <c r="A316" s="655">
        <v>2627</v>
      </c>
      <c r="B316" s="656" t="s">
        <v>33</v>
      </c>
      <c r="C316" s="655" t="s">
        <v>2793</v>
      </c>
      <c r="D316" s="656" t="s">
        <v>691</v>
      </c>
      <c r="E316" s="656" t="s">
        <v>56</v>
      </c>
      <c r="F316" s="655">
        <v>15296</v>
      </c>
      <c r="G316" s="656" t="s">
        <v>57</v>
      </c>
      <c r="H316" s="656" t="s">
        <v>1182</v>
      </c>
      <c r="I316" s="656" t="s">
        <v>58</v>
      </c>
      <c r="J316" s="655">
        <v>22</v>
      </c>
      <c r="K316" s="655">
        <v>1</v>
      </c>
      <c r="L316" s="656" t="s">
        <v>34</v>
      </c>
      <c r="M316" s="656" t="s">
        <v>35</v>
      </c>
      <c r="N316" s="656" t="s">
        <v>36</v>
      </c>
      <c r="O316" s="656" t="s">
        <v>37</v>
      </c>
      <c r="P316" s="656" t="s">
        <v>1176</v>
      </c>
      <c r="Q316" s="657">
        <v>0</v>
      </c>
      <c r="R316" s="657">
        <v>0</v>
      </c>
      <c r="S316" s="657">
        <v>753716</v>
      </c>
      <c r="T316" s="657">
        <v>753716</v>
      </c>
      <c r="U316" s="657">
        <v>85233</v>
      </c>
      <c r="V316" s="655">
        <v>2021</v>
      </c>
      <c r="W316" s="659"/>
      <c r="X316" s="660">
        <f t="shared" si="14"/>
        <v>8.8430068166085913</v>
      </c>
      <c r="Y316" s="661" t="str">
        <f t="shared" si="12"/>
        <v/>
      </c>
      <c r="Z316" s="661" t="str">
        <f t="shared" si="13"/>
        <v/>
      </c>
    </row>
    <row r="317" spans="1:26" s="128" customFormat="1" hidden="1">
      <c r="A317" s="655">
        <v>2628</v>
      </c>
      <c r="B317" s="656" t="s">
        <v>33</v>
      </c>
      <c r="C317" s="655" t="s">
        <v>2793</v>
      </c>
      <c r="D317" s="656" t="s">
        <v>520</v>
      </c>
      <c r="E317" s="656" t="s">
        <v>1190</v>
      </c>
      <c r="F317" s="655">
        <v>56142</v>
      </c>
      <c r="G317" s="656" t="s">
        <v>57</v>
      </c>
      <c r="H317" s="656" t="s">
        <v>1182</v>
      </c>
      <c r="I317" s="656" t="s">
        <v>58</v>
      </c>
      <c r="J317" s="655">
        <v>22</v>
      </c>
      <c r="K317" s="655">
        <v>2</v>
      </c>
      <c r="L317" s="656" t="s">
        <v>52</v>
      </c>
      <c r="M317" s="656" t="s">
        <v>50</v>
      </c>
      <c r="N317" s="656" t="s">
        <v>66</v>
      </c>
      <c r="O317" s="656" t="s">
        <v>67</v>
      </c>
      <c r="P317" s="656" t="s">
        <v>47</v>
      </c>
      <c r="Q317" s="657">
        <v>0</v>
      </c>
      <c r="R317" s="657">
        <v>0</v>
      </c>
      <c r="S317" s="657">
        <v>0</v>
      </c>
      <c r="T317" s="657">
        <v>0</v>
      </c>
      <c r="U317" s="657">
        <v>0</v>
      </c>
      <c r="V317" s="655">
        <v>2021</v>
      </c>
      <c r="W317" s="659" t="s">
        <v>3675</v>
      </c>
      <c r="X317" s="660" t="str">
        <f t="shared" si="14"/>
        <v/>
      </c>
      <c r="Y317" s="661" t="str">
        <f t="shared" si="12"/>
        <v/>
      </c>
      <c r="Z317" s="661" t="str">
        <f t="shared" si="13"/>
        <v/>
      </c>
    </row>
    <row r="318" spans="1:26" s="128" customFormat="1" hidden="1">
      <c r="A318" s="655">
        <v>2628</v>
      </c>
      <c r="B318" s="656" t="s">
        <v>33</v>
      </c>
      <c r="C318" s="655" t="s">
        <v>2793</v>
      </c>
      <c r="D318" s="656" t="s">
        <v>520</v>
      </c>
      <c r="E318" s="656" t="s">
        <v>1190</v>
      </c>
      <c r="F318" s="655">
        <v>56142</v>
      </c>
      <c r="G318" s="656" t="s">
        <v>57</v>
      </c>
      <c r="H318" s="656" t="s">
        <v>1182</v>
      </c>
      <c r="I318" s="656" t="s">
        <v>58</v>
      </c>
      <c r="J318" s="655">
        <v>22</v>
      </c>
      <c r="K318" s="655">
        <v>2</v>
      </c>
      <c r="L318" s="656" t="s">
        <v>52</v>
      </c>
      <c r="M318" s="656" t="s">
        <v>50</v>
      </c>
      <c r="N318" s="656" t="s">
        <v>76</v>
      </c>
      <c r="O318" s="656" t="s">
        <v>67</v>
      </c>
      <c r="P318" s="656" t="s">
        <v>47</v>
      </c>
      <c r="Q318" s="657">
        <v>0</v>
      </c>
      <c r="R318" s="657">
        <v>0</v>
      </c>
      <c r="S318" s="657">
        <v>0</v>
      </c>
      <c r="T318" s="657">
        <v>0</v>
      </c>
      <c r="U318" s="657">
        <v>0</v>
      </c>
      <c r="V318" s="655">
        <v>2021</v>
      </c>
      <c r="W318" s="659" t="s">
        <v>3675</v>
      </c>
      <c r="X318" s="660" t="str">
        <f t="shared" si="14"/>
        <v/>
      </c>
      <c r="Y318" s="661" t="str">
        <f t="shared" si="12"/>
        <v/>
      </c>
      <c r="Z318" s="661" t="str">
        <f t="shared" si="13"/>
        <v/>
      </c>
    </row>
    <row r="319" spans="1:26" s="128" customFormat="1" hidden="1">
      <c r="A319" s="655">
        <v>2628</v>
      </c>
      <c r="B319" s="656" t="s">
        <v>33</v>
      </c>
      <c r="C319" s="655" t="s">
        <v>2793</v>
      </c>
      <c r="D319" s="656" t="s">
        <v>520</v>
      </c>
      <c r="E319" s="656" t="s">
        <v>1190</v>
      </c>
      <c r="F319" s="655">
        <v>56142</v>
      </c>
      <c r="G319" s="656" t="s">
        <v>57</v>
      </c>
      <c r="H319" s="656" t="s">
        <v>1182</v>
      </c>
      <c r="I319" s="656" t="s">
        <v>58</v>
      </c>
      <c r="J319" s="655">
        <v>22</v>
      </c>
      <c r="K319" s="655">
        <v>2</v>
      </c>
      <c r="L319" s="656" t="s">
        <v>52</v>
      </c>
      <c r="M319" s="656" t="s">
        <v>50</v>
      </c>
      <c r="N319" s="656" t="s">
        <v>39</v>
      </c>
      <c r="O319" s="656" t="s">
        <v>39</v>
      </c>
      <c r="P319" s="656" t="s">
        <v>1037</v>
      </c>
      <c r="Q319" s="657">
        <v>3164</v>
      </c>
      <c r="R319" s="657">
        <v>3164</v>
      </c>
      <c r="S319" s="657">
        <v>3258</v>
      </c>
      <c r="T319" s="657">
        <v>3258</v>
      </c>
      <c r="U319" s="657">
        <v>138</v>
      </c>
      <c r="V319" s="655">
        <v>2021</v>
      </c>
      <c r="W319" s="659" t="s">
        <v>3675</v>
      </c>
      <c r="X319" s="660">
        <f t="shared" si="14"/>
        <v>23.608695652173914</v>
      </c>
      <c r="Y319" s="661" t="str">
        <f t="shared" si="12"/>
        <v/>
      </c>
      <c r="Z319" s="661" t="str">
        <f t="shared" si="13"/>
        <v/>
      </c>
    </row>
    <row r="320" spans="1:26" s="128" customFormat="1" ht="25" hidden="1">
      <c r="A320" s="655">
        <v>2630</v>
      </c>
      <c r="B320" s="656" t="s">
        <v>33</v>
      </c>
      <c r="C320" s="655" t="s">
        <v>2793</v>
      </c>
      <c r="D320" s="656" t="s">
        <v>3103</v>
      </c>
      <c r="E320" s="656" t="s">
        <v>3104</v>
      </c>
      <c r="F320" s="655">
        <v>57280</v>
      </c>
      <c r="G320" s="656" t="s">
        <v>57</v>
      </c>
      <c r="H320" s="656" t="s">
        <v>1182</v>
      </c>
      <c r="I320" s="656" t="s">
        <v>58</v>
      </c>
      <c r="J320" s="655">
        <v>22</v>
      </c>
      <c r="K320" s="655">
        <v>2</v>
      </c>
      <c r="L320" s="656" t="s">
        <v>52</v>
      </c>
      <c r="M320" s="656" t="s">
        <v>35</v>
      </c>
      <c r="N320" s="656" t="s">
        <v>36</v>
      </c>
      <c r="O320" s="656" t="s">
        <v>37</v>
      </c>
      <c r="P320" s="656" t="s">
        <v>1176</v>
      </c>
      <c r="Q320" s="657">
        <v>0</v>
      </c>
      <c r="R320" s="657">
        <v>0</v>
      </c>
      <c r="S320" s="657">
        <v>130540</v>
      </c>
      <c r="T320" s="657">
        <v>130540</v>
      </c>
      <c r="U320" s="657">
        <v>14762</v>
      </c>
      <c r="V320" s="655">
        <v>2021</v>
      </c>
      <c r="W320" s="659"/>
      <c r="X320" s="660">
        <f t="shared" si="14"/>
        <v>8.8429752066115697</v>
      </c>
      <c r="Y320" s="661" t="str">
        <f t="shared" si="12"/>
        <v/>
      </c>
      <c r="Z320" s="661" t="str">
        <f t="shared" si="13"/>
        <v/>
      </c>
    </row>
    <row r="321" spans="1:26" s="128" customFormat="1" ht="25" hidden="1">
      <c r="A321" s="655">
        <v>2631</v>
      </c>
      <c r="B321" s="656" t="s">
        <v>33</v>
      </c>
      <c r="C321" s="655" t="s">
        <v>2793</v>
      </c>
      <c r="D321" s="656" t="s">
        <v>692</v>
      </c>
      <c r="E321" s="656" t="s">
        <v>3104</v>
      </c>
      <c r="F321" s="655">
        <v>57280</v>
      </c>
      <c r="G321" s="656" t="s">
        <v>57</v>
      </c>
      <c r="H321" s="656" t="s">
        <v>1182</v>
      </c>
      <c r="I321" s="656" t="s">
        <v>58</v>
      </c>
      <c r="J321" s="655">
        <v>22</v>
      </c>
      <c r="K321" s="655">
        <v>2</v>
      </c>
      <c r="L321" s="656" t="s">
        <v>52</v>
      </c>
      <c r="M321" s="656" t="s">
        <v>35</v>
      </c>
      <c r="N321" s="656" t="s">
        <v>36</v>
      </c>
      <c r="O321" s="656" t="s">
        <v>37</v>
      </c>
      <c r="P321" s="656" t="s">
        <v>1176</v>
      </c>
      <c r="Q321" s="657">
        <v>0</v>
      </c>
      <c r="R321" s="657">
        <v>0</v>
      </c>
      <c r="S321" s="657">
        <v>291669</v>
      </c>
      <c r="T321" s="657">
        <v>291669</v>
      </c>
      <c r="U321" s="657">
        <v>32983</v>
      </c>
      <c r="V321" s="655">
        <v>2021</v>
      </c>
      <c r="W321" s="659"/>
      <c r="X321" s="660">
        <f t="shared" si="14"/>
        <v>8.8430100354728189</v>
      </c>
      <c r="Y321" s="661" t="str">
        <f t="shared" si="12"/>
        <v/>
      </c>
      <c r="Z321" s="661" t="str">
        <f t="shared" si="13"/>
        <v/>
      </c>
    </row>
    <row r="322" spans="1:26" s="128" customFormat="1" hidden="1">
      <c r="A322" s="655">
        <v>2632</v>
      </c>
      <c r="B322" s="656" t="s">
        <v>33</v>
      </c>
      <c r="C322" s="655" t="s">
        <v>2793</v>
      </c>
      <c r="D322" s="656" t="s">
        <v>549</v>
      </c>
      <c r="E322" s="656" t="s">
        <v>1190</v>
      </c>
      <c r="F322" s="655">
        <v>56142</v>
      </c>
      <c r="G322" s="656" t="s">
        <v>57</v>
      </c>
      <c r="H322" s="656" t="s">
        <v>1182</v>
      </c>
      <c r="I322" s="656" t="s">
        <v>58</v>
      </c>
      <c r="J322" s="655">
        <v>22</v>
      </c>
      <c r="K322" s="655">
        <v>2</v>
      </c>
      <c r="L322" s="656" t="s">
        <v>52</v>
      </c>
      <c r="M322" s="656" t="s">
        <v>50</v>
      </c>
      <c r="N322" s="656" t="s">
        <v>66</v>
      </c>
      <c r="O322" s="656" t="s">
        <v>67</v>
      </c>
      <c r="P322" s="656" t="s">
        <v>47</v>
      </c>
      <c r="Q322" s="657">
        <v>0</v>
      </c>
      <c r="R322" s="657">
        <v>0</v>
      </c>
      <c r="S322" s="657">
        <v>0</v>
      </c>
      <c r="T322" s="657">
        <v>0</v>
      </c>
      <c r="U322" s="657">
        <v>0</v>
      </c>
      <c r="V322" s="655">
        <v>2021</v>
      </c>
      <c r="W322" s="659" t="s">
        <v>3675</v>
      </c>
      <c r="X322" s="660" t="str">
        <f t="shared" si="14"/>
        <v/>
      </c>
      <c r="Y322" s="661" t="str">
        <f t="shared" si="12"/>
        <v/>
      </c>
      <c r="Z322" s="661" t="str">
        <f t="shared" si="13"/>
        <v/>
      </c>
    </row>
    <row r="323" spans="1:26" s="128" customFormat="1" hidden="1">
      <c r="A323" s="655">
        <v>2632</v>
      </c>
      <c r="B323" s="656" t="s">
        <v>33</v>
      </c>
      <c r="C323" s="655" t="s">
        <v>2793</v>
      </c>
      <c r="D323" s="656" t="s">
        <v>549</v>
      </c>
      <c r="E323" s="656" t="s">
        <v>1190</v>
      </c>
      <c r="F323" s="655">
        <v>56142</v>
      </c>
      <c r="G323" s="656" t="s">
        <v>57</v>
      </c>
      <c r="H323" s="656" t="s">
        <v>1182</v>
      </c>
      <c r="I323" s="656" t="s">
        <v>58</v>
      </c>
      <c r="J323" s="655">
        <v>22</v>
      </c>
      <c r="K323" s="655">
        <v>2</v>
      </c>
      <c r="L323" s="656" t="s">
        <v>52</v>
      </c>
      <c r="M323" s="656" t="s">
        <v>50</v>
      </c>
      <c r="N323" s="656" t="s">
        <v>76</v>
      </c>
      <c r="O323" s="656" t="s">
        <v>67</v>
      </c>
      <c r="P323" s="656" t="s">
        <v>47</v>
      </c>
      <c r="Q323" s="657">
        <v>0</v>
      </c>
      <c r="R323" s="657">
        <v>0</v>
      </c>
      <c r="S323" s="657">
        <v>0</v>
      </c>
      <c r="T323" s="657">
        <v>0</v>
      </c>
      <c r="U323" s="657">
        <v>0</v>
      </c>
      <c r="V323" s="655">
        <v>2021</v>
      </c>
      <c r="W323" s="659" t="s">
        <v>3675</v>
      </c>
      <c r="X323" s="660" t="str">
        <f t="shared" si="14"/>
        <v/>
      </c>
      <c r="Y323" s="661" t="str">
        <f t="shared" si="12"/>
        <v/>
      </c>
      <c r="Z323" s="661" t="str">
        <f t="shared" si="13"/>
        <v/>
      </c>
    </row>
    <row r="324" spans="1:26" s="128" customFormat="1" hidden="1">
      <c r="A324" s="655">
        <v>2632</v>
      </c>
      <c r="B324" s="656" t="s">
        <v>33</v>
      </c>
      <c r="C324" s="655" t="s">
        <v>2793</v>
      </c>
      <c r="D324" s="656" t="s">
        <v>549</v>
      </c>
      <c r="E324" s="656" t="s">
        <v>1190</v>
      </c>
      <c r="F324" s="655">
        <v>56142</v>
      </c>
      <c r="G324" s="656" t="s">
        <v>57</v>
      </c>
      <c r="H324" s="656" t="s">
        <v>1182</v>
      </c>
      <c r="I324" s="656" t="s">
        <v>58</v>
      </c>
      <c r="J324" s="655">
        <v>22</v>
      </c>
      <c r="K324" s="655">
        <v>2</v>
      </c>
      <c r="L324" s="656" t="s">
        <v>52</v>
      </c>
      <c r="M324" s="656" t="s">
        <v>50</v>
      </c>
      <c r="N324" s="656" t="s">
        <v>39</v>
      </c>
      <c r="O324" s="656" t="s">
        <v>39</v>
      </c>
      <c r="P324" s="656" t="s">
        <v>1037</v>
      </c>
      <c r="Q324" s="657">
        <v>3420</v>
      </c>
      <c r="R324" s="657">
        <v>3420</v>
      </c>
      <c r="S324" s="657">
        <v>3522</v>
      </c>
      <c r="T324" s="657">
        <v>3522</v>
      </c>
      <c r="U324" s="657">
        <v>151</v>
      </c>
      <c r="V324" s="655">
        <v>2021</v>
      </c>
      <c r="W324" s="659" t="s">
        <v>3675</v>
      </c>
      <c r="X324" s="660">
        <f t="shared" si="14"/>
        <v>23.32450331125828</v>
      </c>
      <c r="Y324" s="661" t="str">
        <f t="shared" si="12"/>
        <v/>
      </c>
      <c r="Z324" s="661" t="str">
        <f t="shared" si="13"/>
        <v/>
      </c>
    </row>
    <row r="325" spans="1:26" s="128" customFormat="1" ht="25" hidden="1">
      <c r="A325" s="655">
        <v>2634</v>
      </c>
      <c r="B325" s="656" t="s">
        <v>33</v>
      </c>
      <c r="C325" s="655" t="s">
        <v>2793</v>
      </c>
      <c r="D325" s="656" t="s">
        <v>693</v>
      </c>
      <c r="E325" s="656" t="s">
        <v>3104</v>
      </c>
      <c r="F325" s="655">
        <v>57280</v>
      </c>
      <c r="G325" s="656" t="s">
        <v>57</v>
      </c>
      <c r="H325" s="656" t="s">
        <v>1182</v>
      </c>
      <c r="I325" s="656" t="s">
        <v>58</v>
      </c>
      <c r="J325" s="655">
        <v>22</v>
      </c>
      <c r="K325" s="655">
        <v>2</v>
      </c>
      <c r="L325" s="656" t="s">
        <v>52</v>
      </c>
      <c r="M325" s="656" t="s">
        <v>35</v>
      </c>
      <c r="N325" s="656" t="s">
        <v>36</v>
      </c>
      <c r="O325" s="656" t="s">
        <v>37</v>
      </c>
      <c r="P325" s="656" t="s">
        <v>1176</v>
      </c>
      <c r="Q325" s="657">
        <v>0</v>
      </c>
      <c r="R325" s="657">
        <v>0</v>
      </c>
      <c r="S325" s="657">
        <v>155813</v>
      </c>
      <c r="T325" s="657">
        <v>155813</v>
      </c>
      <c r="U325" s="657">
        <v>17620</v>
      </c>
      <c r="V325" s="655">
        <v>2021</v>
      </c>
      <c r="W325" s="659"/>
      <c r="X325" s="660">
        <f t="shared" si="14"/>
        <v>8.8429625425652674</v>
      </c>
      <c r="Y325" s="661" t="str">
        <f t="shared" si="12"/>
        <v/>
      </c>
      <c r="Z325" s="661" t="str">
        <f t="shared" si="13"/>
        <v/>
      </c>
    </row>
    <row r="326" spans="1:26" s="128" customFormat="1" ht="25" hidden="1">
      <c r="A326" s="655">
        <v>2638</v>
      </c>
      <c r="B326" s="656" t="s">
        <v>33</v>
      </c>
      <c r="C326" s="655" t="s">
        <v>2793</v>
      </c>
      <c r="D326" s="656" t="s">
        <v>694</v>
      </c>
      <c r="E326" s="656" t="s">
        <v>695</v>
      </c>
      <c r="F326" s="655">
        <v>16183</v>
      </c>
      <c r="G326" s="656" t="s">
        <v>57</v>
      </c>
      <c r="H326" s="656" t="s">
        <v>1182</v>
      </c>
      <c r="I326" s="656" t="s">
        <v>58</v>
      </c>
      <c r="J326" s="655">
        <v>22</v>
      </c>
      <c r="K326" s="655">
        <v>1</v>
      </c>
      <c r="L326" s="656" t="s">
        <v>34</v>
      </c>
      <c r="M326" s="656" t="s">
        <v>35</v>
      </c>
      <c r="N326" s="656" t="s">
        <v>36</v>
      </c>
      <c r="O326" s="656" t="s">
        <v>37</v>
      </c>
      <c r="P326" s="656" t="s">
        <v>1176</v>
      </c>
      <c r="Q326" s="657">
        <v>0</v>
      </c>
      <c r="R326" s="657">
        <v>0</v>
      </c>
      <c r="S326" s="657">
        <v>64013</v>
      </c>
      <c r="T326" s="657">
        <v>64013</v>
      </c>
      <c r="U326" s="657">
        <v>7239</v>
      </c>
      <c r="V326" s="655">
        <v>2021</v>
      </c>
      <c r="W326" s="659"/>
      <c r="X326" s="660">
        <f t="shared" si="14"/>
        <v>8.8427959662936875</v>
      </c>
      <c r="Y326" s="661" t="str">
        <f t="shared" si="12"/>
        <v/>
      </c>
      <c r="Z326" s="661" t="str">
        <f t="shared" si="13"/>
        <v/>
      </c>
    </row>
    <row r="327" spans="1:26" s="128" customFormat="1" ht="25" hidden="1">
      <c r="A327" s="655">
        <v>2641</v>
      </c>
      <c r="B327" s="656" t="s">
        <v>33</v>
      </c>
      <c r="C327" s="655" t="s">
        <v>2793</v>
      </c>
      <c r="D327" s="656" t="s">
        <v>1191</v>
      </c>
      <c r="E327" s="656" t="s">
        <v>695</v>
      </c>
      <c r="F327" s="655">
        <v>16183</v>
      </c>
      <c r="G327" s="656" t="s">
        <v>57</v>
      </c>
      <c r="H327" s="656" t="s">
        <v>1182</v>
      </c>
      <c r="I327" s="656" t="s">
        <v>58</v>
      </c>
      <c r="J327" s="655">
        <v>22</v>
      </c>
      <c r="K327" s="655">
        <v>1</v>
      </c>
      <c r="L327" s="656" t="s">
        <v>34</v>
      </c>
      <c r="M327" s="656" t="s">
        <v>35</v>
      </c>
      <c r="N327" s="656" t="s">
        <v>36</v>
      </c>
      <c r="O327" s="656" t="s">
        <v>37</v>
      </c>
      <c r="P327" s="656" t="s">
        <v>1176</v>
      </c>
      <c r="Q327" s="657">
        <v>0</v>
      </c>
      <c r="R327" s="657">
        <v>0</v>
      </c>
      <c r="S327" s="657">
        <v>0</v>
      </c>
      <c r="T327" s="657">
        <v>0</v>
      </c>
      <c r="U327" s="657">
        <v>0</v>
      </c>
      <c r="V327" s="655">
        <v>2021</v>
      </c>
      <c r="W327" s="659"/>
      <c r="X327" s="660" t="str">
        <f t="shared" si="14"/>
        <v/>
      </c>
      <c r="Y327" s="661" t="str">
        <f t="shared" ref="Y327:Y390" si="15">IF(AND($M327=$Y$2,$N327=$Y$3,NOT($Q327=$R327),NOT($U327=0)),IF($K327=5,$S327/($U327+(8/5)*$U327),IF($K327=7,$S327/($U327+(29/25)*$U327),"")),"")</f>
        <v/>
      </c>
      <c r="Z327" s="661" t="str">
        <f t="shared" ref="Z327:Z390" si="16">IF(AND($M327=$Y$2,$N327=$Y$4,NOT($Q327=$R327),NOT($U327=0)),IF($K327=5,$S327/($U327+(8/5)*$U327),IF($K327=7,$S327/($U327+(29/25)*$U327),"")),"")</f>
        <v/>
      </c>
    </row>
    <row r="328" spans="1:26" s="128" customFormat="1" hidden="1">
      <c r="A328" s="655">
        <v>2678</v>
      </c>
      <c r="B328" s="656" t="s">
        <v>33</v>
      </c>
      <c r="C328" s="655" t="s">
        <v>2793</v>
      </c>
      <c r="D328" s="656" t="s">
        <v>1584</v>
      </c>
      <c r="E328" s="656" t="s">
        <v>1585</v>
      </c>
      <c r="F328" s="655">
        <v>6775</v>
      </c>
      <c r="G328" s="656" t="s">
        <v>57</v>
      </c>
      <c r="H328" s="656" t="s">
        <v>1182</v>
      </c>
      <c r="I328" s="656" t="s">
        <v>58</v>
      </c>
      <c r="J328" s="655">
        <v>22</v>
      </c>
      <c r="K328" s="655">
        <v>1</v>
      </c>
      <c r="L328" s="656" t="s">
        <v>34</v>
      </c>
      <c r="M328" s="656" t="s">
        <v>51</v>
      </c>
      <c r="N328" s="656" t="s">
        <v>46</v>
      </c>
      <c r="O328" s="656" t="s">
        <v>46</v>
      </c>
      <c r="P328" s="656" t="s">
        <v>47</v>
      </c>
      <c r="Q328" s="657">
        <v>52</v>
      </c>
      <c r="R328" s="657">
        <v>52</v>
      </c>
      <c r="S328" s="657">
        <v>292</v>
      </c>
      <c r="T328" s="657">
        <v>292</v>
      </c>
      <c r="U328" s="657">
        <v>27</v>
      </c>
      <c r="V328" s="655">
        <v>2021</v>
      </c>
      <c r="W328" s="659"/>
      <c r="X328" s="660">
        <f t="shared" ref="X328:X391" si="17">IF(OR(K328&gt;3,T328=0,NOT(U328&gt;0)),"",T328/U328)</f>
        <v>10.814814814814815</v>
      </c>
      <c r="Y328" s="661" t="str">
        <f t="shared" si="15"/>
        <v/>
      </c>
      <c r="Z328" s="661" t="str">
        <f t="shared" si="16"/>
        <v/>
      </c>
    </row>
    <row r="329" spans="1:26" s="128" customFormat="1" hidden="1">
      <c r="A329" s="655">
        <v>2679</v>
      </c>
      <c r="B329" s="656" t="s">
        <v>33</v>
      </c>
      <c r="C329" s="655" t="s">
        <v>2793</v>
      </c>
      <c r="D329" s="656" t="s">
        <v>1586</v>
      </c>
      <c r="E329" s="656" t="s">
        <v>1585</v>
      </c>
      <c r="F329" s="655">
        <v>6775</v>
      </c>
      <c r="G329" s="656" t="s">
        <v>57</v>
      </c>
      <c r="H329" s="656" t="s">
        <v>1182</v>
      </c>
      <c r="I329" s="656" t="s">
        <v>58</v>
      </c>
      <c r="J329" s="655">
        <v>22</v>
      </c>
      <c r="K329" s="655">
        <v>1</v>
      </c>
      <c r="L329" s="656" t="s">
        <v>34</v>
      </c>
      <c r="M329" s="656" t="s">
        <v>50</v>
      </c>
      <c r="N329" s="656" t="s">
        <v>46</v>
      </c>
      <c r="O329" s="656" t="s">
        <v>46</v>
      </c>
      <c r="P329" s="656" t="s">
        <v>47</v>
      </c>
      <c r="Q329" s="657">
        <v>0</v>
      </c>
      <c r="R329" s="657">
        <v>0</v>
      </c>
      <c r="S329" s="657">
        <v>0</v>
      </c>
      <c r="T329" s="657">
        <v>0</v>
      </c>
      <c r="U329" s="657">
        <v>0</v>
      </c>
      <c r="V329" s="655">
        <v>2021</v>
      </c>
      <c r="W329" s="659" t="s">
        <v>3675</v>
      </c>
      <c r="X329" s="660" t="str">
        <f t="shared" si="17"/>
        <v/>
      </c>
      <c r="Y329" s="661" t="str">
        <f t="shared" si="15"/>
        <v/>
      </c>
      <c r="Z329" s="661" t="str">
        <f t="shared" si="16"/>
        <v/>
      </c>
    </row>
    <row r="330" spans="1:26" s="128" customFormat="1" hidden="1">
      <c r="A330" s="655">
        <v>2679</v>
      </c>
      <c r="B330" s="656" t="s">
        <v>33</v>
      </c>
      <c r="C330" s="655" t="s">
        <v>2793</v>
      </c>
      <c r="D330" s="656" t="s">
        <v>1586</v>
      </c>
      <c r="E330" s="656" t="s">
        <v>1585</v>
      </c>
      <c r="F330" s="655">
        <v>6775</v>
      </c>
      <c r="G330" s="656" t="s">
        <v>57</v>
      </c>
      <c r="H330" s="656" t="s">
        <v>1182</v>
      </c>
      <c r="I330" s="656" t="s">
        <v>58</v>
      </c>
      <c r="J330" s="655">
        <v>22</v>
      </c>
      <c r="K330" s="655">
        <v>1</v>
      </c>
      <c r="L330" s="656" t="s">
        <v>34</v>
      </c>
      <c r="M330" s="656" t="s">
        <v>50</v>
      </c>
      <c r="N330" s="656" t="s">
        <v>76</v>
      </c>
      <c r="O330" s="656" t="s">
        <v>67</v>
      </c>
      <c r="P330" s="656" t="s">
        <v>47</v>
      </c>
      <c r="Q330" s="657">
        <v>3816</v>
      </c>
      <c r="R330" s="657">
        <v>3816</v>
      </c>
      <c r="S330" s="657">
        <v>21636</v>
      </c>
      <c r="T330" s="657">
        <v>21636</v>
      </c>
      <c r="U330" s="657">
        <v>2114.3150000000001</v>
      </c>
      <c r="V330" s="655">
        <v>2021</v>
      </c>
      <c r="W330" s="659" t="s">
        <v>3675</v>
      </c>
      <c r="X330" s="660">
        <f t="shared" si="17"/>
        <v>10.23310150095894</v>
      </c>
      <c r="Y330" s="661" t="str">
        <f t="shared" si="15"/>
        <v/>
      </c>
      <c r="Z330" s="661" t="str">
        <f t="shared" si="16"/>
        <v/>
      </c>
    </row>
    <row r="331" spans="1:26" s="128" customFormat="1" hidden="1">
      <c r="A331" s="655">
        <v>2679</v>
      </c>
      <c r="B331" s="656" t="s">
        <v>33</v>
      </c>
      <c r="C331" s="655" t="s">
        <v>2793</v>
      </c>
      <c r="D331" s="656" t="s">
        <v>1586</v>
      </c>
      <c r="E331" s="656" t="s">
        <v>1585</v>
      </c>
      <c r="F331" s="655">
        <v>6775</v>
      </c>
      <c r="G331" s="656" t="s">
        <v>57</v>
      </c>
      <c r="H331" s="656" t="s">
        <v>1182</v>
      </c>
      <c r="I331" s="656" t="s">
        <v>58</v>
      </c>
      <c r="J331" s="655">
        <v>22</v>
      </c>
      <c r="K331" s="655">
        <v>1</v>
      </c>
      <c r="L331" s="656" t="s">
        <v>34</v>
      </c>
      <c r="M331" s="656" t="s">
        <v>50</v>
      </c>
      <c r="N331" s="656" t="s">
        <v>39</v>
      </c>
      <c r="O331" s="656" t="s">
        <v>39</v>
      </c>
      <c r="P331" s="656" t="s">
        <v>1037</v>
      </c>
      <c r="Q331" s="657">
        <v>600263</v>
      </c>
      <c r="R331" s="657">
        <v>600263</v>
      </c>
      <c r="S331" s="657">
        <v>618271</v>
      </c>
      <c r="T331" s="657">
        <v>618271</v>
      </c>
      <c r="U331" s="657">
        <v>60416.686000000002</v>
      </c>
      <c r="V331" s="655">
        <v>2021</v>
      </c>
      <c r="W331" s="659" t="s">
        <v>3675</v>
      </c>
      <c r="X331" s="660">
        <f t="shared" si="17"/>
        <v>10.233447759779475</v>
      </c>
      <c r="Y331" s="661" t="str">
        <f t="shared" si="15"/>
        <v/>
      </c>
      <c r="Z331" s="661" t="str">
        <f t="shared" si="16"/>
        <v/>
      </c>
    </row>
    <row r="332" spans="1:26" s="128" customFormat="1" hidden="1">
      <c r="A332" s="655">
        <v>2681</v>
      </c>
      <c r="B332" s="656" t="s">
        <v>33</v>
      </c>
      <c r="C332" s="655" t="s">
        <v>2793</v>
      </c>
      <c r="D332" s="656" t="s">
        <v>696</v>
      </c>
      <c r="E332" s="656" t="s">
        <v>1587</v>
      </c>
      <c r="F332" s="655">
        <v>7630</v>
      </c>
      <c r="G332" s="656" t="s">
        <v>57</v>
      </c>
      <c r="H332" s="656" t="s">
        <v>1182</v>
      </c>
      <c r="I332" s="656" t="s">
        <v>58</v>
      </c>
      <c r="J332" s="655">
        <v>22</v>
      </c>
      <c r="K332" s="655">
        <v>1</v>
      </c>
      <c r="L332" s="656" t="s">
        <v>34</v>
      </c>
      <c r="M332" s="656" t="s">
        <v>51</v>
      </c>
      <c r="N332" s="656" t="s">
        <v>46</v>
      </c>
      <c r="O332" s="656" t="s">
        <v>46</v>
      </c>
      <c r="P332" s="656" t="s">
        <v>47</v>
      </c>
      <c r="Q332" s="657">
        <v>21</v>
      </c>
      <c r="R332" s="657">
        <v>21</v>
      </c>
      <c r="S332" s="657">
        <v>123</v>
      </c>
      <c r="T332" s="657">
        <v>123</v>
      </c>
      <c r="U332" s="657">
        <v>14</v>
      </c>
      <c r="V332" s="655">
        <v>2021</v>
      </c>
      <c r="W332" s="659"/>
      <c r="X332" s="660">
        <f t="shared" si="17"/>
        <v>8.7857142857142865</v>
      </c>
      <c r="Y332" s="661" t="str">
        <f t="shared" si="15"/>
        <v/>
      </c>
      <c r="Z332" s="661" t="str">
        <f t="shared" si="16"/>
        <v/>
      </c>
    </row>
    <row r="333" spans="1:26" s="128" customFormat="1" ht="25" hidden="1">
      <c r="A333" s="655">
        <v>2682</v>
      </c>
      <c r="B333" s="656" t="s">
        <v>33</v>
      </c>
      <c r="C333" s="655" t="s">
        <v>2793</v>
      </c>
      <c r="D333" s="656" t="s">
        <v>125</v>
      </c>
      <c r="E333" s="656" t="s">
        <v>697</v>
      </c>
      <c r="F333" s="655">
        <v>9645</v>
      </c>
      <c r="G333" s="656" t="s">
        <v>57</v>
      </c>
      <c r="H333" s="656" t="s">
        <v>1182</v>
      </c>
      <c r="I333" s="656" t="s">
        <v>58</v>
      </c>
      <c r="J333" s="655">
        <v>22</v>
      </c>
      <c r="K333" s="655">
        <v>1</v>
      </c>
      <c r="L333" s="656" t="s">
        <v>34</v>
      </c>
      <c r="M333" s="656" t="s">
        <v>50</v>
      </c>
      <c r="N333" s="656" t="s">
        <v>43</v>
      </c>
      <c r="O333" s="656" t="s">
        <v>44</v>
      </c>
      <c r="P333" s="656" t="s">
        <v>45</v>
      </c>
      <c r="Q333" s="657">
        <v>0</v>
      </c>
      <c r="R333" s="657">
        <v>0</v>
      </c>
      <c r="S333" s="657">
        <v>0</v>
      </c>
      <c r="T333" s="657">
        <v>0</v>
      </c>
      <c r="U333" s="657">
        <v>0</v>
      </c>
      <c r="V333" s="655">
        <v>2021</v>
      </c>
      <c r="W333" s="659" t="s">
        <v>3675</v>
      </c>
      <c r="X333" s="660" t="str">
        <f t="shared" si="17"/>
        <v/>
      </c>
      <c r="Y333" s="661" t="str">
        <f t="shared" si="15"/>
        <v/>
      </c>
      <c r="Z333" s="661" t="str">
        <f t="shared" si="16"/>
        <v/>
      </c>
    </row>
    <row r="334" spans="1:26" s="128" customFormat="1" ht="25" hidden="1">
      <c r="A334" s="655">
        <v>2682</v>
      </c>
      <c r="B334" s="656" t="s">
        <v>33</v>
      </c>
      <c r="C334" s="655" t="s">
        <v>2793</v>
      </c>
      <c r="D334" s="656" t="s">
        <v>125</v>
      </c>
      <c r="E334" s="656" t="s">
        <v>697</v>
      </c>
      <c r="F334" s="655">
        <v>9645</v>
      </c>
      <c r="G334" s="656" t="s">
        <v>57</v>
      </c>
      <c r="H334" s="656" t="s">
        <v>1182</v>
      </c>
      <c r="I334" s="656" t="s">
        <v>58</v>
      </c>
      <c r="J334" s="655">
        <v>22</v>
      </c>
      <c r="K334" s="655">
        <v>1</v>
      </c>
      <c r="L334" s="656" t="s">
        <v>34</v>
      </c>
      <c r="M334" s="656" t="s">
        <v>50</v>
      </c>
      <c r="N334" s="656" t="s">
        <v>39</v>
      </c>
      <c r="O334" s="656" t="s">
        <v>39</v>
      </c>
      <c r="P334" s="656" t="s">
        <v>1037</v>
      </c>
      <c r="Q334" s="657">
        <v>578210</v>
      </c>
      <c r="R334" s="657">
        <v>578210</v>
      </c>
      <c r="S334" s="657">
        <v>596136</v>
      </c>
      <c r="T334" s="657">
        <v>596136</v>
      </c>
      <c r="U334" s="657">
        <v>59003.998</v>
      </c>
      <c r="V334" s="655">
        <v>2021</v>
      </c>
      <c r="W334" s="659" t="s">
        <v>3675</v>
      </c>
      <c r="X334" s="660">
        <f t="shared" si="17"/>
        <v>10.103315371951576</v>
      </c>
      <c r="Y334" s="661" t="str">
        <f t="shared" si="15"/>
        <v/>
      </c>
      <c r="Z334" s="661" t="str">
        <f t="shared" si="16"/>
        <v/>
      </c>
    </row>
    <row r="335" spans="1:26" s="128" customFormat="1" ht="25" hidden="1">
      <c r="A335" s="655">
        <v>2682</v>
      </c>
      <c r="B335" s="656" t="s">
        <v>33</v>
      </c>
      <c r="C335" s="655" t="s">
        <v>2793</v>
      </c>
      <c r="D335" s="656" t="s">
        <v>125</v>
      </c>
      <c r="E335" s="656" t="s">
        <v>697</v>
      </c>
      <c r="F335" s="655">
        <v>9645</v>
      </c>
      <c r="G335" s="656" t="s">
        <v>57</v>
      </c>
      <c r="H335" s="656" t="s">
        <v>1182</v>
      </c>
      <c r="I335" s="656" t="s">
        <v>58</v>
      </c>
      <c r="J335" s="655">
        <v>22</v>
      </c>
      <c r="K335" s="655">
        <v>1</v>
      </c>
      <c r="L335" s="656" t="s">
        <v>34</v>
      </c>
      <c r="M335" s="656" t="s">
        <v>42</v>
      </c>
      <c r="N335" s="656" t="s">
        <v>43</v>
      </c>
      <c r="O335" s="656" t="s">
        <v>44</v>
      </c>
      <c r="P335" s="656" t="s">
        <v>45</v>
      </c>
      <c r="Q335" s="657">
        <v>0</v>
      </c>
      <c r="R335" s="657">
        <v>0</v>
      </c>
      <c r="S335" s="657">
        <v>0</v>
      </c>
      <c r="T335" s="657">
        <v>0</v>
      </c>
      <c r="U335" s="657">
        <v>0</v>
      </c>
      <c r="V335" s="655">
        <v>2021</v>
      </c>
      <c r="W335" s="659" t="s">
        <v>3675</v>
      </c>
      <c r="X335" s="660" t="str">
        <f t="shared" si="17"/>
        <v/>
      </c>
      <c r="Y335" s="661" t="str">
        <f t="shared" si="15"/>
        <v/>
      </c>
      <c r="Z335" s="661" t="str">
        <f t="shared" si="16"/>
        <v/>
      </c>
    </row>
    <row r="336" spans="1:26" s="128" customFormat="1" ht="25" hidden="1">
      <c r="A336" s="655">
        <v>2682</v>
      </c>
      <c r="B336" s="656" t="s">
        <v>33</v>
      </c>
      <c r="C336" s="655" t="s">
        <v>2793</v>
      </c>
      <c r="D336" s="656" t="s">
        <v>125</v>
      </c>
      <c r="E336" s="656" t="s">
        <v>697</v>
      </c>
      <c r="F336" s="655">
        <v>9645</v>
      </c>
      <c r="G336" s="656" t="s">
        <v>57</v>
      </c>
      <c r="H336" s="656" t="s">
        <v>1182</v>
      </c>
      <c r="I336" s="656" t="s">
        <v>58</v>
      </c>
      <c r="J336" s="655">
        <v>22</v>
      </c>
      <c r="K336" s="655">
        <v>1</v>
      </c>
      <c r="L336" s="656" t="s">
        <v>34</v>
      </c>
      <c r="M336" s="656" t="s">
        <v>42</v>
      </c>
      <c r="N336" s="656" t="s">
        <v>46</v>
      </c>
      <c r="O336" s="656" t="s">
        <v>46</v>
      </c>
      <c r="P336" s="656" t="s">
        <v>47</v>
      </c>
      <c r="Q336" s="657">
        <v>0</v>
      </c>
      <c r="R336" s="657">
        <v>0</v>
      </c>
      <c r="S336" s="657">
        <v>0</v>
      </c>
      <c r="T336" s="657">
        <v>0</v>
      </c>
      <c r="U336" s="657">
        <v>0</v>
      </c>
      <c r="V336" s="655">
        <v>2021</v>
      </c>
      <c r="W336" s="659" t="s">
        <v>3675</v>
      </c>
      <c r="X336" s="660" t="str">
        <f t="shared" si="17"/>
        <v/>
      </c>
      <c r="Y336" s="661" t="str">
        <f t="shared" si="15"/>
        <v/>
      </c>
      <c r="Z336" s="661" t="str">
        <f t="shared" si="16"/>
        <v/>
      </c>
    </row>
    <row r="337" spans="1:26" s="128" customFormat="1" ht="25" hidden="1">
      <c r="A337" s="655">
        <v>2682</v>
      </c>
      <c r="B337" s="656" t="s">
        <v>33</v>
      </c>
      <c r="C337" s="655" t="s">
        <v>2793</v>
      </c>
      <c r="D337" s="656" t="s">
        <v>125</v>
      </c>
      <c r="E337" s="656" t="s">
        <v>697</v>
      </c>
      <c r="F337" s="655">
        <v>9645</v>
      </c>
      <c r="G337" s="656" t="s">
        <v>57</v>
      </c>
      <c r="H337" s="656" t="s">
        <v>1182</v>
      </c>
      <c r="I337" s="656" t="s">
        <v>58</v>
      </c>
      <c r="J337" s="655">
        <v>22</v>
      </c>
      <c r="K337" s="655">
        <v>1</v>
      </c>
      <c r="L337" s="656" t="s">
        <v>34</v>
      </c>
      <c r="M337" s="656" t="s">
        <v>42</v>
      </c>
      <c r="N337" s="656" t="s">
        <v>39</v>
      </c>
      <c r="O337" s="656" t="s">
        <v>39</v>
      </c>
      <c r="P337" s="656" t="s">
        <v>1037</v>
      </c>
      <c r="Q337" s="657">
        <v>27753</v>
      </c>
      <c r="R337" s="657">
        <v>27753</v>
      </c>
      <c r="S337" s="657">
        <v>28614</v>
      </c>
      <c r="T337" s="657">
        <v>28614</v>
      </c>
      <c r="U337" s="657">
        <v>4170</v>
      </c>
      <c r="V337" s="655">
        <v>2021</v>
      </c>
      <c r="W337" s="659" t="s">
        <v>3675</v>
      </c>
      <c r="X337" s="660">
        <f t="shared" si="17"/>
        <v>6.8618705035971219</v>
      </c>
      <c r="Y337" s="661" t="str">
        <f t="shared" si="15"/>
        <v/>
      </c>
      <c r="Z337" s="661" t="str">
        <f t="shared" si="16"/>
        <v/>
      </c>
    </row>
    <row r="338" spans="1:26" s="128" customFormat="1" hidden="1">
      <c r="A338" s="655">
        <v>2685</v>
      </c>
      <c r="B338" s="656" t="s">
        <v>33</v>
      </c>
      <c r="C338" s="655" t="s">
        <v>2793</v>
      </c>
      <c r="D338" s="656" t="s">
        <v>698</v>
      </c>
      <c r="E338" s="656" t="s">
        <v>56</v>
      </c>
      <c r="F338" s="655">
        <v>15296</v>
      </c>
      <c r="G338" s="656" t="s">
        <v>57</v>
      </c>
      <c r="H338" s="656" t="s">
        <v>1182</v>
      </c>
      <c r="I338" s="656" t="s">
        <v>58</v>
      </c>
      <c r="J338" s="655">
        <v>22</v>
      </c>
      <c r="K338" s="655">
        <v>1</v>
      </c>
      <c r="L338" s="656" t="s">
        <v>34</v>
      </c>
      <c r="M338" s="656" t="s">
        <v>35</v>
      </c>
      <c r="N338" s="656" t="s">
        <v>36</v>
      </c>
      <c r="O338" s="656" t="s">
        <v>37</v>
      </c>
      <c r="P338" s="656" t="s">
        <v>1176</v>
      </c>
      <c r="Q338" s="657">
        <v>0</v>
      </c>
      <c r="R338" s="657">
        <v>0</v>
      </c>
      <c r="S338" s="657">
        <v>616242</v>
      </c>
      <c r="T338" s="657">
        <v>616242</v>
      </c>
      <c r="U338" s="657">
        <v>69687</v>
      </c>
      <c r="V338" s="655">
        <v>2021</v>
      </c>
      <c r="W338" s="659"/>
      <c r="X338" s="660">
        <f t="shared" si="17"/>
        <v>8.8429979766670979</v>
      </c>
      <c r="Y338" s="661" t="str">
        <f t="shared" si="15"/>
        <v/>
      </c>
      <c r="Z338" s="661" t="str">
        <f t="shared" si="16"/>
        <v/>
      </c>
    </row>
    <row r="339" spans="1:26" s="128" customFormat="1" hidden="1">
      <c r="A339" s="655">
        <v>2686</v>
      </c>
      <c r="B339" s="656" t="s">
        <v>33</v>
      </c>
      <c r="C339" s="655" t="s">
        <v>2793</v>
      </c>
      <c r="D339" s="656" t="s">
        <v>699</v>
      </c>
      <c r="E339" s="656" t="s">
        <v>56</v>
      </c>
      <c r="F339" s="655">
        <v>15296</v>
      </c>
      <c r="G339" s="656" t="s">
        <v>57</v>
      </c>
      <c r="H339" s="656" t="s">
        <v>1182</v>
      </c>
      <c r="I339" s="656" t="s">
        <v>58</v>
      </c>
      <c r="J339" s="655">
        <v>22</v>
      </c>
      <c r="K339" s="655">
        <v>1</v>
      </c>
      <c r="L339" s="656" t="s">
        <v>34</v>
      </c>
      <c r="M339" s="656" t="s">
        <v>35</v>
      </c>
      <c r="N339" s="656" t="s">
        <v>36</v>
      </c>
      <c r="O339" s="656" t="s">
        <v>37</v>
      </c>
      <c r="P339" s="656" t="s">
        <v>1176</v>
      </c>
      <c r="Q339" s="657">
        <v>0</v>
      </c>
      <c r="R339" s="657">
        <v>0</v>
      </c>
      <c r="S339" s="657">
        <v>588652</v>
      </c>
      <c r="T339" s="657">
        <v>588652</v>
      </c>
      <c r="U339" s="657">
        <v>66567</v>
      </c>
      <c r="V339" s="655">
        <v>2021</v>
      </c>
      <c r="W339" s="659"/>
      <c r="X339" s="660">
        <f t="shared" si="17"/>
        <v>8.8430002854267133</v>
      </c>
      <c r="Y339" s="661" t="str">
        <f t="shared" si="15"/>
        <v/>
      </c>
      <c r="Z339" s="661" t="str">
        <f t="shared" si="16"/>
        <v/>
      </c>
    </row>
    <row r="340" spans="1:26" s="128" customFormat="1" ht="25" hidden="1">
      <c r="A340" s="655">
        <v>2691</v>
      </c>
      <c r="B340" s="656" t="s">
        <v>33</v>
      </c>
      <c r="C340" s="655" t="s">
        <v>2793</v>
      </c>
      <c r="D340" s="656" t="s">
        <v>126</v>
      </c>
      <c r="E340" s="656" t="s">
        <v>56</v>
      </c>
      <c r="F340" s="655">
        <v>15296</v>
      </c>
      <c r="G340" s="656" t="s">
        <v>57</v>
      </c>
      <c r="H340" s="656" t="s">
        <v>1182</v>
      </c>
      <c r="I340" s="656" t="s">
        <v>58</v>
      </c>
      <c r="J340" s="655">
        <v>22</v>
      </c>
      <c r="K340" s="655">
        <v>1</v>
      </c>
      <c r="L340" s="656" t="s">
        <v>34</v>
      </c>
      <c r="M340" s="656" t="s">
        <v>59</v>
      </c>
      <c r="N340" s="656" t="s">
        <v>36</v>
      </c>
      <c r="O340" s="656" t="s">
        <v>60</v>
      </c>
      <c r="P340" s="656" t="s">
        <v>2794</v>
      </c>
      <c r="Q340" s="657">
        <v>432499</v>
      </c>
      <c r="R340" s="657">
        <v>432499</v>
      </c>
      <c r="S340" s="657">
        <v>0</v>
      </c>
      <c r="T340" s="657">
        <v>0</v>
      </c>
      <c r="U340" s="657">
        <v>-148232</v>
      </c>
      <c r="V340" s="655">
        <v>2021</v>
      </c>
      <c r="W340" s="659"/>
      <c r="X340" s="660" t="str">
        <f t="shared" si="17"/>
        <v/>
      </c>
      <c r="Y340" s="661" t="str">
        <f t="shared" si="15"/>
        <v/>
      </c>
      <c r="Z340" s="661" t="str">
        <f t="shared" si="16"/>
        <v/>
      </c>
    </row>
    <row r="341" spans="1:26" s="128" customFormat="1" ht="25" hidden="1">
      <c r="A341" s="655">
        <v>2692</v>
      </c>
      <c r="B341" s="656" t="s">
        <v>33</v>
      </c>
      <c r="C341" s="655" t="s">
        <v>2793</v>
      </c>
      <c r="D341" s="656" t="s">
        <v>127</v>
      </c>
      <c r="E341" s="656" t="s">
        <v>56</v>
      </c>
      <c r="F341" s="655">
        <v>15296</v>
      </c>
      <c r="G341" s="656" t="s">
        <v>57</v>
      </c>
      <c r="H341" s="656" t="s">
        <v>1182</v>
      </c>
      <c r="I341" s="656" t="s">
        <v>58</v>
      </c>
      <c r="J341" s="655">
        <v>22</v>
      </c>
      <c r="K341" s="655">
        <v>1</v>
      </c>
      <c r="L341" s="656" t="s">
        <v>34</v>
      </c>
      <c r="M341" s="656" t="s">
        <v>59</v>
      </c>
      <c r="N341" s="656" t="s">
        <v>36</v>
      </c>
      <c r="O341" s="656" t="s">
        <v>60</v>
      </c>
      <c r="P341" s="656" t="s">
        <v>2794</v>
      </c>
      <c r="Q341" s="657">
        <v>661924</v>
      </c>
      <c r="R341" s="657">
        <v>661924</v>
      </c>
      <c r="S341" s="657">
        <v>0</v>
      </c>
      <c r="T341" s="657">
        <v>0</v>
      </c>
      <c r="U341" s="657">
        <v>-233303</v>
      </c>
      <c r="V341" s="655">
        <v>2021</v>
      </c>
      <c r="W341" s="659"/>
      <c r="X341" s="660" t="str">
        <f t="shared" si="17"/>
        <v/>
      </c>
      <c r="Y341" s="661" t="str">
        <f t="shared" si="15"/>
        <v/>
      </c>
      <c r="Z341" s="661" t="str">
        <f t="shared" si="16"/>
        <v/>
      </c>
    </row>
    <row r="342" spans="1:26" s="128" customFormat="1" hidden="1">
      <c r="A342" s="655">
        <v>2693</v>
      </c>
      <c r="B342" s="656" t="s">
        <v>33</v>
      </c>
      <c r="C342" s="655" t="s">
        <v>2793</v>
      </c>
      <c r="D342" s="656" t="s">
        <v>128</v>
      </c>
      <c r="E342" s="656" t="s">
        <v>56</v>
      </c>
      <c r="F342" s="655">
        <v>15296</v>
      </c>
      <c r="G342" s="656" t="s">
        <v>57</v>
      </c>
      <c r="H342" s="656" t="s">
        <v>1182</v>
      </c>
      <c r="I342" s="656" t="s">
        <v>58</v>
      </c>
      <c r="J342" s="655">
        <v>22</v>
      </c>
      <c r="K342" s="655">
        <v>1</v>
      </c>
      <c r="L342" s="656" t="s">
        <v>34</v>
      </c>
      <c r="M342" s="656" t="s">
        <v>35</v>
      </c>
      <c r="N342" s="656" t="s">
        <v>36</v>
      </c>
      <c r="O342" s="656" t="s">
        <v>37</v>
      </c>
      <c r="P342" s="656" t="s">
        <v>1176</v>
      </c>
      <c r="Q342" s="657">
        <v>0</v>
      </c>
      <c r="R342" s="657">
        <v>0</v>
      </c>
      <c r="S342" s="657">
        <v>145251129</v>
      </c>
      <c r="T342" s="657">
        <v>145251129</v>
      </c>
      <c r="U342" s="657">
        <v>16425549</v>
      </c>
      <c r="V342" s="655">
        <v>2021</v>
      </c>
      <c r="W342" s="659"/>
      <c r="X342" s="660">
        <f t="shared" si="17"/>
        <v>8.8429999508692223</v>
      </c>
      <c r="Y342" s="661" t="str">
        <f t="shared" si="15"/>
        <v/>
      </c>
      <c r="Z342" s="661" t="str">
        <f t="shared" si="16"/>
        <v/>
      </c>
    </row>
    <row r="343" spans="1:26" s="128" customFormat="1" hidden="1">
      <c r="A343" s="655">
        <v>2694</v>
      </c>
      <c r="B343" s="656" t="s">
        <v>33</v>
      </c>
      <c r="C343" s="655" t="s">
        <v>2793</v>
      </c>
      <c r="D343" s="656" t="s">
        <v>129</v>
      </c>
      <c r="E343" s="656" t="s">
        <v>56</v>
      </c>
      <c r="F343" s="655">
        <v>15296</v>
      </c>
      <c r="G343" s="656" t="s">
        <v>57</v>
      </c>
      <c r="H343" s="656" t="s">
        <v>1182</v>
      </c>
      <c r="I343" s="656" t="s">
        <v>58</v>
      </c>
      <c r="J343" s="655">
        <v>22</v>
      </c>
      <c r="K343" s="655">
        <v>1</v>
      </c>
      <c r="L343" s="656" t="s">
        <v>34</v>
      </c>
      <c r="M343" s="656" t="s">
        <v>35</v>
      </c>
      <c r="N343" s="656" t="s">
        <v>36</v>
      </c>
      <c r="O343" s="656" t="s">
        <v>37</v>
      </c>
      <c r="P343" s="656" t="s">
        <v>1176</v>
      </c>
      <c r="Q343" s="657">
        <v>0</v>
      </c>
      <c r="R343" s="657">
        <v>0</v>
      </c>
      <c r="S343" s="657">
        <v>64680434</v>
      </c>
      <c r="T343" s="657">
        <v>64680434</v>
      </c>
      <c r="U343" s="657">
        <v>7314309</v>
      </c>
      <c r="V343" s="655">
        <v>2021</v>
      </c>
      <c r="W343" s="659"/>
      <c r="X343" s="660">
        <f t="shared" si="17"/>
        <v>8.8429999334181808</v>
      </c>
      <c r="Y343" s="661" t="str">
        <f t="shared" si="15"/>
        <v/>
      </c>
      <c r="Z343" s="661" t="str">
        <f t="shared" si="16"/>
        <v/>
      </c>
    </row>
    <row r="344" spans="1:26" s="128" customFormat="1" ht="25" hidden="1">
      <c r="A344" s="655">
        <v>2695</v>
      </c>
      <c r="B344" s="656" t="s">
        <v>33</v>
      </c>
      <c r="C344" s="655" t="s">
        <v>2793</v>
      </c>
      <c r="D344" s="656" t="s">
        <v>700</v>
      </c>
      <c r="E344" s="656" t="s">
        <v>1588</v>
      </c>
      <c r="F344" s="655">
        <v>16217</v>
      </c>
      <c r="G344" s="656" t="s">
        <v>57</v>
      </c>
      <c r="H344" s="656" t="s">
        <v>1182</v>
      </c>
      <c r="I344" s="656" t="s">
        <v>58</v>
      </c>
      <c r="J344" s="655">
        <v>22</v>
      </c>
      <c r="K344" s="655">
        <v>1</v>
      </c>
      <c r="L344" s="656" t="s">
        <v>34</v>
      </c>
      <c r="M344" s="656" t="s">
        <v>51</v>
      </c>
      <c r="N344" s="656" t="s">
        <v>46</v>
      </c>
      <c r="O344" s="656" t="s">
        <v>46</v>
      </c>
      <c r="P344" s="656" t="s">
        <v>47</v>
      </c>
      <c r="Q344" s="657">
        <v>429</v>
      </c>
      <c r="R344" s="657">
        <v>429</v>
      </c>
      <c r="S344" s="657">
        <v>2496</v>
      </c>
      <c r="T344" s="657">
        <v>2496</v>
      </c>
      <c r="U344" s="657">
        <v>28.861999999999998</v>
      </c>
      <c r="V344" s="655">
        <v>2021</v>
      </c>
      <c r="W344" s="659"/>
      <c r="X344" s="660">
        <f t="shared" si="17"/>
        <v>86.480493382302001</v>
      </c>
      <c r="Y344" s="661" t="str">
        <f t="shared" si="15"/>
        <v/>
      </c>
      <c r="Z344" s="661" t="str">
        <f t="shared" si="16"/>
        <v/>
      </c>
    </row>
    <row r="345" spans="1:26" s="128" customFormat="1" ht="25" hidden="1">
      <c r="A345" s="655">
        <v>2695</v>
      </c>
      <c r="B345" s="656" t="s">
        <v>33</v>
      </c>
      <c r="C345" s="655" t="s">
        <v>2793</v>
      </c>
      <c r="D345" s="656" t="s">
        <v>700</v>
      </c>
      <c r="E345" s="656" t="s">
        <v>1588</v>
      </c>
      <c r="F345" s="655">
        <v>16217</v>
      </c>
      <c r="G345" s="656" t="s">
        <v>57</v>
      </c>
      <c r="H345" s="656" t="s">
        <v>1182</v>
      </c>
      <c r="I345" s="656" t="s">
        <v>58</v>
      </c>
      <c r="J345" s="655">
        <v>22</v>
      </c>
      <c r="K345" s="655">
        <v>1</v>
      </c>
      <c r="L345" s="656" t="s">
        <v>34</v>
      </c>
      <c r="M345" s="656" t="s">
        <v>51</v>
      </c>
      <c r="N345" s="656" t="s">
        <v>39</v>
      </c>
      <c r="O345" s="656" t="s">
        <v>39</v>
      </c>
      <c r="P345" s="656" t="s">
        <v>1037</v>
      </c>
      <c r="Q345" s="657">
        <v>234</v>
      </c>
      <c r="R345" s="657">
        <v>234</v>
      </c>
      <c r="S345" s="657">
        <v>271</v>
      </c>
      <c r="T345" s="657">
        <v>271</v>
      </c>
      <c r="U345" s="657">
        <v>3.1379999999999999</v>
      </c>
      <c r="V345" s="655">
        <v>2021</v>
      </c>
      <c r="W345" s="659"/>
      <c r="X345" s="660">
        <f t="shared" si="17"/>
        <v>86.36073932441046</v>
      </c>
      <c r="Y345" s="661" t="str">
        <f t="shared" si="15"/>
        <v/>
      </c>
      <c r="Z345" s="661" t="str">
        <f t="shared" si="16"/>
        <v/>
      </c>
    </row>
    <row r="346" spans="1:26" s="128" customFormat="1" hidden="1">
      <c r="A346" s="655">
        <v>2700</v>
      </c>
      <c r="B346" s="656" t="s">
        <v>33</v>
      </c>
      <c r="C346" s="655" t="s">
        <v>2793</v>
      </c>
      <c r="D346" s="656" t="s">
        <v>701</v>
      </c>
      <c r="E346" s="656" t="s">
        <v>1102</v>
      </c>
      <c r="F346" s="655">
        <v>20188</v>
      </c>
      <c r="G346" s="656" t="s">
        <v>57</v>
      </c>
      <c r="H346" s="656" t="s">
        <v>1182</v>
      </c>
      <c r="I346" s="656" t="s">
        <v>58</v>
      </c>
      <c r="J346" s="655">
        <v>22</v>
      </c>
      <c r="K346" s="655">
        <v>1</v>
      </c>
      <c r="L346" s="656" t="s">
        <v>34</v>
      </c>
      <c r="M346" s="656" t="s">
        <v>35</v>
      </c>
      <c r="N346" s="656" t="s">
        <v>36</v>
      </c>
      <c r="O346" s="656" t="s">
        <v>37</v>
      </c>
      <c r="P346" s="656" t="s">
        <v>1176</v>
      </c>
      <c r="Q346" s="657">
        <v>0</v>
      </c>
      <c r="R346" s="657">
        <v>0</v>
      </c>
      <c r="S346" s="657">
        <v>227433</v>
      </c>
      <c r="T346" s="657">
        <v>227433</v>
      </c>
      <c r="U346" s="657">
        <v>25719</v>
      </c>
      <c r="V346" s="655">
        <v>2021</v>
      </c>
      <c r="W346" s="659"/>
      <c r="X346" s="660">
        <f t="shared" si="17"/>
        <v>8.8429954508340138</v>
      </c>
      <c r="Y346" s="661" t="str">
        <f t="shared" si="15"/>
        <v/>
      </c>
      <c r="Z346" s="661" t="str">
        <f t="shared" si="16"/>
        <v/>
      </c>
    </row>
    <row r="347" spans="1:26" s="128" customFormat="1" hidden="1">
      <c r="A347" s="655">
        <v>3236</v>
      </c>
      <c r="B347" s="656" t="s">
        <v>33</v>
      </c>
      <c r="C347" s="655" t="s">
        <v>2793</v>
      </c>
      <c r="D347" s="656" t="s">
        <v>130</v>
      </c>
      <c r="E347" s="656" t="s">
        <v>2799</v>
      </c>
      <c r="F347" s="655">
        <v>63350</v>
      </c>
      <c r="G347" s="656" t="s">
        <v>131</v>
      </c>
      <c r="H347" s="656" t="s">
        <v>1183</v>
      </c>
      <c r="I347" s="656" t="s">
        <v>58</v>
      </c>
      <c r="J347" s="655">
        <v>22</v>
      </c>
      <c r="K347" s="655">
        <v>2</v>
      </c>
      <c r="L347" s="656" t="s">
        <v>52</v>
      </c>
      <c r="M347" s="656" t="s">
        <v>38</v>
      </c>
      <c r="N347" s="656" t="s">
        <v>46</v>
      </c>
      <c r="O347" s="656" t="s">
        <v>46</v>
      </c>
      <c r="P347" s="656" t="s">
        <v>47</v>
      </c>
      <c r="Q347" s="657">
        <v>0</v>
      </c>
      <c r="R347" s="657">
        <v>0</v>
      </c>
      <c r="S347" s="657">
        <v>0</v>
      </c>
      <c r="T347" s="657">
        <v>0</v>
      </c>
      <c r="U347" s="657">
        <v>1612.164</v>
      </c>
      <c r="V347" s="655">
        <v>2021</v>
      </c>
      <c r="W347" s="659" t="s">
        <v>3675</v>
      </c>
      <c r="X347" s="660" t="str">
        <f t="shared" si="17"/>
        <v/>
      </c>
      <c r="Y347" s="661" t="str">
        <f t="shared" si="15"/>
        <v/>
      </c>
      <c r="Z347" s="661" t="str">
        <f t="shared" si="16"/>
        <v/>
      </c>
    </row>
    <row r="348" spans="1:26" s="128" customFormat="1" hidden="1">
      <c r="A348" s="655">
        <v>3236</v>
      </c>
      <c r="B348" s="656" t="s">
        <v>33</v>
      </c>
      <c r="C348" s="655" t="s">
        <v>2793</v>
      </c>
      <c r="D348" s="656" t="s">
        <v>130</v>
      </c>
      <c r="E348" s="656" t="s">
        <v>2799</v>
      </c>
      <c r="F348" s="655">
        <v>63350</v>
      </c>
      <c r="G348" s="656" t="s">
        <v>131</v>
      </c>
      <c r="H348" s="656" t="s">
        <v>1183</v>
      </c>
      <c r="I348" s="656" t="s">
        <v>58</v>
      </c>
      <c r="J348" s="655">
        <v>22</v>
      </c>
      <c r="K348" s="655">
        <v>2</v>
      </c>
      <c r="L348" s="656" t="s">
        <v>52</v>
      </c>
      <c r="M348" s="656" t="s">
        <v>38</v>
      </c>
      <c r="N348" s="656" t="s">
        <v>39</v>
      </c>
      <c r="O348" s="656" t="s">
        <v>39</v>
      </c>
      <c r="P348" s="656" t="s">
        <v>1037</v>
      </c>
      <c r="Q348" s="657">
        <v>0</v>
      </c>
      <c r="R348" s="657">
        <v>0</v>
      </c>
      <c r="S348" s="657">
        <v>0</v>
      </c>
      <c r="T348" s="657">
        <v>0</v>
      </c>
      <c r="U348" s="657">
        <v>447195.84</v>
      </c>
      <c r="V348" s="655">
        <v>2021</v>
      </c>
      <c r="W348" s="659" t="s">
        <v>3675</v>
      </c>
      <c r="X348" s="660" t="str">
        <f t="shared" si="17"/>
        <v/>
      </c>
      <c r="Y348" s="661" t="str">
        <f t="shared" si="15"/>
        <v/>
      </c>
      <c r="Z348" s="661" t="str">
        <f t="shared" si="16"/>
        <v/>
      </c>
    </row>
    <row r="349" spans="1:26" s="128" customFormat="1" hidden="1">
      <c r="A349" s="655">
        <v>3236</v>
      </c>
      <c r="B349" s="656" t="s">
        <v>33</v>
      </c>
      <c r="C349" s="655" t="s">
        <v>2793</v>
      </c>
      <c r="D349" s="656" t="s">
        <v>130</v>
      </c>
      <c r="E349" s="656" t="s">
        <v>2799</v>
      </c>
      <c r="F349" s="655">
        <v>63350</v>
      </c>
      <c r="G349" s="656" t="s">
        <v>131</v>
      </c>
      <c r="H349" s="656" t="s">
        <v>1183</v>
      </c>
      <c r="I349" s="656" t="s">
        <v>58</v>
      </c>
      <c r="J349" s="655">
        <v>22</v>
      </c>
      <c r="K349" s="655">
        <v>2</v>
      </c>
      <c r="L349" s="656" t="s">
        <v>52</v>
      </c>
      <c r="M349" s="656" t="s">
        <v>41</v>
      </c>
      <c r="N349" s="656" t="s">
        <v>46</v>
      </c>
      <c r="O349" s="656" t="s">
        <v>46</v>
      </c>
      <c r="P349" s="656" t="s">
        <v>47</v>
      </c>
      <c r="Q349" s="657">
        <v>7123</v>
      </c>
      <c r="R349" s="657">
        <v>7123</v>
      </c>
      <c r="S349" s="657">
        <v>41335</v>
      </c>
      <c r="T349" s="657">
        <v>41335</v>
      </c>
      <c r="U349" s="657">
        <v>3461.4490000000001</v>
      </c>
      <c r="V349" s="655">
        <v>2021</v>
      </c>
      <c r="W349" s="659" t="s">
        <v>3675</v>
      </c>
      <c r="X349" s="660">
        <f t="shared" si="17"/>
        <v>11.941530844452712</v>
      </c>
      <c r="Y349" s="661" t="str">
        <f t="shared" si="15"/>
        <v/>
      </c>
      <c r="Z349" s="661" t="str">
        <f t="shared" si="16"/>
        <v/>
      </c>
    </row>
    <row r="350" spans="1:26" s="128" customFormat="1" hidden="1">
      <c r="A350" s="655">
        <v>3236</v>
      </c>
      <c r="B350" s="656" t="s">
        <v>33</v>
      </c>
      <c r="C350" s="655" t="s">
        <v>2793</v>
      </c>
      <c r="D350" s="656" t="s">
        <v>130</v>
      </c>
      <c r="E350" s="656" t="s">
        <v>2799</v>
      </c>
      <c r="F350" s="655">
        <v>63350</v>
      </c>
      <c r="G350" s="656" t="s">
        <v>131</v>
      </c>
      <c r="H350" s="656" t="s">
        <v>1183</v>
      </c>
      <c r="I350" s="656" t="s">
        <v>58</v>
      </c>
      <c r="J350" s="655">
        <v>22</v>
      </c>
      <c r="K350" s="655">
        <v>2</v>
      </c>
      <c r="L350" s="656" t="s">
        <v>52</v>
      </c>
      <c r="M350" s="656" t="s">
        <v>41</v>
      </c>
      <c r="N350" s="656" t="s">
        <v>39</v>
      </c>
      <c r="O350" s="656" t="s">
        <v>39</v>
      </c>
      <c r="P350" s="656" t="s">
        <v>1037</v>
      </c>
      <c r="Q350" s="657">
        <v>10809251</v>
      </c>
      <c r="R350" s="657">
        <v>10809251</v>
      </c>
      <c r="S350" s="657">
        <v>11102062</v>
      </c>
      <c r="T350" s="657">
        <v>11102062</v>
      </c>
      <c r="U350" s="657">
        <v>944834.55</v>
      </c>
      <c r="V350" s="655">
        <v>2021</v>
      </c>
      <c r="W350" s="659" t="s">
        <v>3675</v>
      </c>
      <c r="X350" s="660">
        <f t="shared" si="17"/>
        <v>11.7502709865976</v>
      </c>
      <c r="Y350" s="661" t="str">
        <f t="shared" si="15"/>
        <v/>
      </c>
      <c r="Z350" s="661" t="str">
        <f t="shared" si="16"/>
        <v/>
      </c>
    </row>
    <row r="351" spans="1:26" s="128" customFormat="1" ht="25" hidden="1">
      <c r="A351" s="655">
        <v>3708</v>
      </c>
      <c r="B351" s="656" t="s">
        <v>33</v>
      </c>
      <c r="C351" s="655" t="s">
        <v>2793</v>
      </c>
      <c r="D351" s="656" t="s">
        <v>702</v>
      </c>
      <c r="E351" s="656" t="s">
        <v>132</v>
      </c>
      <c r="F351" s="655">
        <v>7601</v>
      </c>
      <c r="G351" s="656" t="s">
        <v>89</v>
      </c>
      <c r="H351" s="656" t="s">
        <v>1183</v>
      </c>
      <c r="I351" s="656" t="s">
        <v>58</v>
      </c>
      <c r="J351" s="655">
        <v>22</v>
      </c>
      <c r="K351" s="655">
        <v>1</v>
      </c>
      <c r="L351" s="656" t="s">
        <v>34</v>
      </c>
      <c r="M351" s="656" t="s">
        <v>50</v>
      </c>
      <c r="N351" s="656" t="s">
        <v>46</v>
      </c>
      <c r="O351" s="656" t="s">
        <v>46</v>
      </c>
      <c r="P351" s="656" t="s">
        <v>47</v>
      </c>
      <c r="Q351" s="657">
        <v>1343</v>
      </c>
      <c r="R351" s="657">
        <v>1343</v>
      </c>
      <c r="S351" s="657">
        <v>7788</v>
      </c>
      <c r="T351" s="657">
        <v>7788</v>
      </c>
      <c r="U351" s="657">
        <v>269</v>
      </c>
      <c r="V351" s="655">
        <v>2021</v>
      </c>
      <c r="W351" s="659"/>
      <c r="X351" s="660">
        <f t="shared" si="17"/>
        <v>28.951672862453531</v>
      </c>
      <c r="Y351" s="661" t="str">
        <f t="shared" si="15"/>
        <v/>
      </c>
      <c r="Z351" s="661" t="str">
        <f t="shared" si="16"/>
        <v/>
      </c>
    </row>
    <row r="352" spans="1:26" s="128" customFormat="1" ht="25" hidden="1">
      <c r="A352" s="655">
        <v>3709</v>
      </c>
      <c r="B352" s="656" t="s">
        <v>33</v>
      </c>
      <c r="C352" s="655" t="s">
        <v>2793</v>
      </c>
      <c r="D352" s="656" t="s">
        <v>1589</v>
      </c>
      <c r="E352" s="656" t="s">
        <v>132</v>
      </c>
      <c r="F352" s="655">
        <v>7601</v>
      </c>
      <c r="G352" s="656" t="s">
        <v>89</v>
      </c>
      <c r="H352" s="656" t="s">
        <v>1183</v>
      </c>
      <c r="I352" s="656" t="s">
        <v>58</v>
      </c>
      <c r="J352" s="655">
        <v>22</v>
      </c>
      <c r="K352" s="655">
        <v>1</v>
      </c>
      <c r="L352" s="656" t="s">
        <v>34</v>
      </c>
      <c r="M352" s="656" t="s">
        <v>35</v>
      </c>
      <c r="N352" s="656" t="s">
        <v>36</v>
      </c>
      <c r="O352" s="656" t="s">
        <v>37</v>
      </c>
      <c r="P352" s="656" t="s">
        <v>1176</v>
      </c>
      <c r="Q352" s="657">
        <v>0</v>
      </c>
      <c r="R352" s="657">
        <v>0</v>
      </c>
      <c r="S352" s="657">
        <v>19976</v>
      </c>
      <c r="T352" s="657">
        <v>19976</v>
      </c>
      <c r="U352" s="657">
        <v>2259</v>
      </c>
      <c r="V352" s="655">
        <v>2021</v>
      </c>
      <c r="W352" s="659"/>
      <c r="X352" s="660">
        <f t="shared" si="17"/>
        <v>8.8428508189464363</v>
      </c>
      <c r="Y352" s="661" t="str">
        <f t="shared" si="15"/>
        <v/>
      </c>
      <c r="Z352" s="661" t="str">
        <f t="shared" si="16"/>
        <v/>
      </c>
    </row>
    <row r="353" spans="1:26" s="128" customFormat="1" ht="25" hidden="1">
      <c r="A353" s="655">
        <v>3710</v>
      </c>
      <c r="B353" s="656" t="s">
        <v>33</v>
      </c>
      <c r="C353" s="655" t="s">
        <v>2793</v>
      </c>
      <c r="D353" s="656" t="s">
        <v>703</v>
      </c>
      <c r="E353" s="656" t="s">
        <v>132</v>
      </c>
      <c r="F353" s="655">
        <v>7601</v>
      </c>
      <c r="G353" s="656" t="s">
        <v>89</v>
      </c>
      <c r="H353" s="656" t="s">
        <v>1183</v>
      </c>
      <c r="I353" s="656" t="s">
        <v>58</v>
      </c>
      <c r="J353" s="655">
        <v>22</v>
      </c>
      <c r="K353" s="655">
        <v>1</v>
      </c>
      <c r="L353" s="656" t="s">
        <v>34</v>
      </c>
      <c r="M353" s="656" t="s">
        <v>35</v>
      </c>
      <c r="N353" s="656" t="s">
        <v>36</v>
      </c>
      <c r="O353" s="656" t="s">
        <v>37</v>
      </c>
      <c r="P353" s="656" t="s">
        <v>1176</v>
      </c>
      <c r="Q353" s="657">
        <v>0</v>
      </c>
      <c r="R353" s="657">
        <v>0</v>
      </c>
      <c r="S353" s="657">
        <v>36274</v>
      </c>
      <c r="T353" s="657">
        <v>36274</v>
      </c>
      <c r="U353" s="657">
        <v>4102</v>
      </c>
      <c r="V353" s="655">
        <v>2021</v>
      </c>
      <c r="W353" s="659"/>
      <c r="X353" s="660">
        <f t="shared" si="17"/>
        <v>8.8430034129692832</v>
      </c>
      <c r="Y353" s="661" t="str">
        <f t="shared" si="15"/>
        <v/>
      </c>
      <c r="Z353" s="661" t="str">
        <f t="shared" si="16"/>
        <v/>
      </c>
    </row>
    <row r="354" spans="1:26" s="128" customFormat="1" ht="25" hidden="1">
      <c r="A354" s="655">
        <v>3711</v>
      </c>
      <c r="B354" s="656" t="s">
        <v>33</v>
      </c>
      <c r="C354" s="655" t="s">
        <v>2793</v>
      </c>
      <c r="D354" s="656" t="s">
        <v>704</v>
      </c>
      <c r="E354" s="656" t="s">
        <v>132</v>
      </c>
      <c r="F354" s="655">
        <v>7601</v>
      </c>
      <c r="G354" s="656" t="s">
        <v>89</v>
      </c>
      <c r="H354" s="656" t="s">
        <v>1183</v>
      </c>
      <c r="I354" s="656" t="s">
        <v>58</v>
      </c>
      <c r="J354" s="655">
        <v>22</v>
      </c>
      <c r="K354" s="655">
        <v>1</v>
      </c>
      <c r="L354" s="656" t="s">
        <v>34</v>
      </c>
      <c r="M354" s="656" t="s">
        <v>35</v>
      </c>
      <c r="N354" s="656" t="s">
        <v>36</v>
      </c>
      <c r="O354" s="656" t="s">
        <v>37</v>
      </c>
      <c r="P354" s="656" t="s">
        <v>1176</v>
      </c>
      <c r="Q354" s="657">
        <v>0</v>
      </c>
      <c r="R354" s="657">
        <v>0</v>
      </c>
      <c r="S354" s="657">
        <v>107762</v>
      </c>
      <c r="T354" s="657">
        <v>107762</v>
      </c>
      <c r="U354" s="657">
        <v>12186</v>
      </c>
      <c r="V354" s="655">
        <v>2021</v>
      </c>
      <c r="W354" s="659"/>
      <c r="X354" s="660">
        <f t="shared" si="17"/>
        <v>8.8430986377810594</v>
      </c>
      <c r="Y354" s="661" t="str">
        <f t="shared" si="15"/>
        <v/>
      </c>
      <c r="Z354" s="661" t="str">
        <f t="shared" si="16"/>
        <v/>
      </c>
    </row>
    <row r="355" spans="1:26" s="128" customFormat="1" ht="25" hidden="1">
      <c r="A355" s="655">
        <v>3712</v>
      </c>
      <c r="B355" s="656" t="s">
        <v>33</v>
      </c>
      <c r="C355" s="655" t="s">
        <v>2793</v>
      </c>
      <c r="D355" s="656" t="s">
        <v>705</v>
      </c>
      <c r="E355" s="656" t="s">
        <v>132</v>
      </c>
      <c r="F355" s="655">
        <v>7601</v>
      </c>
      <c r="G355" s="656" t="s">
        <v>89</v>
      </c>
      <c r="H355" s="656" t="s">
        <v>1183</v>
      </c>
      <c r="I355" s="656" t="s">
        <v>58</v>
      </c>
      <c r="J355" s="655">
        <v>22</v>
      </c>
      <c r="K355" s="655">
        <v>1</v>
      </c>
      <c r="L355" s="656" t="s">
        <v>34</v>
      </c>
      <c r="M355" s="656" t="s">
        <v>35</v>
      </c>
      <c r="N355" s="656" t="s">
        <v>36</v>
      </c>
      <c r="O355" s="656" t="s">
        <v>37</v>
      </c>
      <c r="P355" s="656" t="s">
        <v>1176</v>
      </c>
      <c r="Q355" s="657">
        <v>0</v>
      </c>
      <c r="R355" s="657">
        <v>0</v>
      </c>
      <c r="S355" s="657">
        <v>146821</v>
      </c>
      <c r="T355" s="657">
        <v>146821</v>
      </c>
      <c r="U355" s="657">
        <v>16603</v>
      </c>
      <c r="V355" s="655">
        <v>2021</v>
      </c>
      <c r="W355" s="659"/>
      <c r="X355" s="660">
        <f t="shared" si="17"/>
        <v>8.8430404143829424</v>
      </c>
      <c r="Y355" s="661" t="str">
        <f t="shared" si="15"/>
        <v/>
      </c>
      <c r="Z355" s="661" t="str">
        <f t="shared" si="16"/>
        <v/>
      </c>
    </row>
    <row r="356" spans="1:26" s="128" customFormat="1" ht="25" hidden="1">
      <c r="A356" s="655">
        <v>3714</v>
      </c>
      <c r="B356" s="656" t="s">
        <v>33</v>
      </c>
      <c r="C356" s="655" t="s">
        <v>2793</v>
      </c>
      <c r="D356" s="656" t="s">
        <v>706</v>
      </c>
      <c r="E356" s="656" t="s">
        <v>132</v>
      </c>
      <c r="F356" s="655">
        <v>7601</v>
      </c>
      <c r="G356" s="656" t="s">
        <v>89</v>
      </c>
      <c r="H356" s="656" t="s">
        <v>1183</v>
      </c>
      <c r="I356" s="656" t="s">
        <v>58</v>
      </c>
      <c r="J356" s="655">
        <v>22</v>
      </c>
      <c r="K356" s="655">
        <v>1</v>
      </c>
      <c r="L356" s="656" t="s">
        <v>34</v>
      </c>
      <c r="M356" s="656" t="s">
        <v>35</v>
      </c>
      <c r="N356" s="656" t="s">
        <v>36</v>
      </c>
      <c r="O356" s="656" t="s">
        <v>37</v>
      </c>
      <c r="P356" s="656" t="s">
        <v>1176</v>
      </c>
      <c r="Q356" s="657">
        <v>0</v>
      </c>
      <c r="R356" s="657">
        <v>0</v>
      </c>
      <c r="S356" s="657">
        <v>56932</v>
      </c>
      <c r="T356" s="657">
        <v>56932</v>
      </c>
      <c r="U356" s="657">
        <v>6438</v>
      </c>
      <c r="V356" s="655">
        <v>2021</v>
      </c>
      <c r="W356" s="659"/>
      <c r="X356" s="660">
        <f t="shared" si="17"/>
        <v>8.843118981050015</v>
      </c>
      <c r="Y356" s="661" t="str">
        <f t="shared" si="15"/>
        <v/>
      </c>
      <c r="Z356" s="661" t="str">
        <f t="shared" si="16"/>
        <v/>
      </c>
    </row>
    <row r="357" spans="1:26" s="128" customFormat="1" ht="25" hidden="1">
      <c r="A357" s="655">
        <v>3716</v>
      </c>
      <c r="B357" s="656" t="s">
        <v>33</v>
      </c>
      <c r="C357" s="655" t="s">
        <v>2793</v>
      </c>
      <c r="D357" s="656" t="s">
        <v>707</v>
      </c>
      <c r="E357" s="656" t="s">
        <v>132</v>
      </c>
      <c r="F357" s="655">
        <v>7601</v>
      </c>
      <c r="G357" s="656" t="s">
        <v>89</v>
      </c>
      <c r="H357" s="656" t="s">
        <v>1183</v>
      </c>
      <c r="I357" s="656" t="s">
        <v>58</v>
      </c>
      <c r="J357" s="655">
        <v>22</v>
      </c>
      <c r="K357" s="655">
        <v>1</v>
      </c>
      <c r="L357" s="656" t="s">
        <v>34</v>
      </c>
      <c r="M357" s="656" t="s">
        <v>35</v>
      </c>
      <c r="N357" s="656" t="s">
        <v>36</v>
      </c>
      <c r="O357" s="656" t="s">
        <v>37</v>
      </c>
      <c r="P357" s="656" t="s">
        <v>1176</v>
      </c>
      <c r="Q357" s="657">
        <v>0</v>
      </c>
      <c r="R357" s="657">
        <v>0</v>
      </c>
      <c r="S357" s="657">
        <v>55871</v>
      </c>
      <c r="T357" s="657">
        <v>55871</v>
      </c>
      <c r="U357" s="657">
        <v>6318</v>
      </c>
      <c r="V357" s="655">
        <v>2021</v>
      </c>
      <c r="W357" s="659"/>
      <c r="X357" s="660">
        <f t="shared" si="17"/>
        <v>8.8431465653687873</v>
      </c>
      <c r="Y357" s="661" t="str">
        <f t="shared" si="15"/>
        <v/>
      </c>
      <c r="Z357" s="661" t="str">
        <f t="shared" si="16"/>
        <v/>
      </c>
    </row>
    <row r="358" spans="1:26" s="128" customFormat="1" ht="25" hidden="1">
      <c r="A358" s="655">
        <v>3717</v>
      </c>
      <c r="B358" s="656" t="s">
        <v>33</v>
      </c>
      <c r="C358" s="655" t="s">
        <v>2793</v>
      </c>
      <c r="D358" s="656" t="s">
        <v>708</v>
      </c>
      <c r="E358" s="656" t="s">
        <v>132</v>
      </c>
      <c r="F358" s="655">
        <v>7601</v>
      </c>
      <c r="G358" s="656" t="s">
        <v>89</v>
      </c>
      <c r="H358" s="656" t="s">
        <v>1183</v>
      </c>
      <c r="I358" s="656" t="s">
        <v>58</v>
      </c>
      <c r="J358" s="655">
        <v>22</v>
      </c>
      <c r="K358" s="655">
        <v>1</v>
      </c>
      <c r="L358" s="656" t="s">
        <v>34</v>
      </c>
      <c r="M358" s="656" t="s">
        <v>35</v>
      </c>
      <c r="N358" s="656" t="s">
        <v>36</v>
      </c>
      <c r="O358" s="656" t="s">
        <v>37</v>
      </c>
      <c r="P358" s="656" t="s">
        <v>1176</v>
      </c>
      <c r="Q358" s="657">
        <v>0</v>
      </c>
      <c r="R358" s="657">
        <v>0</v>
      </c>
      <c r="S358" s="657">
        <v>236596</v>
      </c>
      <c r="T358" s="657">
        <v>236596</v>
      </c>
      <c r="U358" s="657">
        <v>26755</v>
      </c>
      <c r="V358" s="655">
        <v>2021</v>
      </c>
      <c r="W358" s="659"/>
      <c r="X358" s="660">
        <f t="shared" si="17"/>
        <v>8.8430573724537478</v>
      </c>
      <c r="Y358" s="661" t="str">
        <f t="shared" si="15"/>
        <v/>
      </c>
      <c r="Z358" s="661" t="str">
        <f t="shared" si="16"/>
        <v/>
      </c>
    </row>
    <row r="359" spans="1:26" s="128" customFormat="1" ht="25" hidden="1">
      <c r="A359" s="655">
        <v>3720</v>
      </c>
      <c r="B359" s="656" t="s">
        <v>33</v>
      </c>
      <c r="C359" s="655" t="s">
        <v>2793</v>
      </c>
      <c r="D359" s="656" t="s">
        <v>709</v>
      </c>
      <c r="E359" s="656" t="s">
        <v>132</v>
      </c>
      <c r="F359" s="655">
        <v>7601</v>
      </c>
      <c r="G359" s="656" t="s">
        <v>89</v>
      </c>
      <c r="H359" s="656" t="s">
        <v>1183</v>
      </c>
      <c r="I359" s="656" t="s">
        <v>58</v>
      </c>
      <c r="J359" s="655">
        <v>22</v>
      </c>
      <c r="K359" s="655">
        <v>1</v>
      </c>
      <c r="L359" s="656" t="s">
        <v>34</v>
      </c>
      <c r="M359" s="656" t="s">
        <v>35</v>
      </c>
      <c r="N359" s="656" t="s">
        <v>36</v>
      </c>
      <c r="O359" s="656" t="s">
        <v>37</v>
      </c>
      <c r="P359" s="656" t="s">
        <v>1176</v>
      </c>
      <c r="Q359" s="657">
        <v>0</v>
      </c>
      <c r="R359" s="657">
        <v>0</v>
      </c>
      <c r="S359" s="657">
        <v>150579</v>
      </c>
      <c r="T359" s="657">
        <v>150579</v>
      </c>
      <c r="U359" s="657">
        <v>17028</v>
      </c>
      <c r="V359" s="655">
        <v>2021</v>
      </c>
      <c r="W359" s="659"/>
      <c r="X359" s="660">
        <f t="shared" si="17"/>
        <v>8.8430232558139537</v>
      </c>
      <c r="Y359" s="661" t="str">
        <f t="shared" si="15"/>
        <v/>
      </c>
      <c r="Z359" s="661" t="str">
        <f t="shared" si="16"/>
        <v/>
      </c>
    </row>
    <row r="360" spans="1:26" s="128" customFormat="1" ht="25" hidden="1">
      <c r="A360" s="655">
        <v>3722</v>
      </c>
      <c r="B360" s="656" t="s">
        <v>33</v>
      </c>
      <c r="C360" s="655" t="s">
        <v>2793</v>
      </c>
      <c r="D360" s="656" t="s">
        <v>710</v>
      </c>
      <c r="E360" s="656" t="s">
        <v>132</v>
      </c>
      <c r="F360" s="655">
        <v>7601</v>
      </c>
      <c r="G360" s="656" t="s">
        <v>89</v>
      </c>
      <c r="H360" s="656" t="s">
        <v>1183</v>
      </c>
      <c r="I360" s="656" t="s">
        <v>58</v>
      </c>
      <c r="J360" s="655">
        <v>22</v>
      </c>
      <c r="K360" s="655">
        <v>1</v>
      </c>
      <c r="L360" s="656" t="s">
        <v>34</v>
      </c>
      <c r="M360" s="656" t="s">
        <v>35</v>
      </c>
      <c r="N360" s="656" t="s">
        <v>36</v>
      </c>
      <c r="O360" s="656" t="s">
        <v>37</v>
      </c>
      <c r="P360" s="656" t="s">
        <v>1176</v>
      </c>
      <c r="Q360" s="657">
        <v>0</v>
      </c>
      <c r="R360" s="657">
        <v>0</v>
      </c>
      <c r="S360" s="657">
        <v>69931</v>
      </c>
      <c r="T360" s="657">
        <v>69931</v>
      </c>
      <c r="U360" s="657">
        <v>7908</v>
      </c>
      <c r="V360" s="655">
        <v>2021</v>
      </c>
      <c r="W360" s="659"/>
      <c r="X360" s="660">
        <f t="shared" si="17"/>
        <v>8.843070308548306</v>
      </c>
      <c r="Y360" s="661" t="str">
        <f t="shared" si="15"/>
        <v/>
      </c>
      <c r="Z360" s="661" t="str">
        <f t="shared" si="16"/>
        <v/>
      </c>
    </row>
    <row r="361" spans="1:26" s="128" customFormat="1" ht="25" hidden="1">
      <c r="A361" s="655">
        <v>3723</v>
      </c>
      <c r="B361" s="656" t="s">
        <v>33</v>
      </c>
      <c r="C361" s="655" t="s">
        <v>2793</v>
      </c>
      <c r="D361" s="656" t="s">
        <v>711</v>
      </c>
      <c r="E361" s="656" t="s">
        <v>132</v>
      </c>
      <c r="F361" s="655">
        <v>7601</v>
      </c>
      <c r="G361" s="656" t="s">
        <v>89</v>
      </c>
      <c r="H361" s="656" t="s">
        <v>1183</v>
      </c>
      <c r="I361" s="656" t="s">
        <v>58</v>
      </c>
      <c r="J361" s="655">
        <v>22</v>
      </c>
      <c r="K361" s="655">
        <v>1</v>
      </c>
      <c r="L361" s="656" t="s">
        <v>34</v>
      </c>
      <c r="M361" s="656" t="s">
        <v>50</v>
      </c>
      <c r="N361" s="656" t="s">
        <v>46</v>
      </c>
      <c r="O361" s="656" t="s">
        <v>46</v>
      </c>
      <c r="P361" s="656" t="s">
        <v>47</v>
      </c>
      <c r="Q361" s="657">
        <v>924</v>
      </c>
      <c r="R361" s="657">
        <v>924</v>
      </c>
      <c r="S361" s="657">
        <v>5359</v>
      </c>
      <c r="T361" s="657">
        <v>5359</v>
      </c>
      <c r="U361" s="657">
        <v>172</v>
      </c>
      <c r="V361" s="655">
        <v>2021</v>
      </c>
      <c r="W361" s="659"/>
      <c r="X361" s="660">
        <f t="shared" si="17"/>
        <v>31.156976744186046</v>
      </c>
      <c r="Y361" s="661" t="str">
        <f t="shared" si="15"/>
        <v/>
      </c>
      <c r="Z361" s="661" t="str">
        <f t="shared" si="16"/>
        <v/>
      </c>
    </row>
    <row r="362" spans="1:26" s="128" customFormat="1" ht="25" hidden="1">
      <c r="A362" s="655">
        <v>3724</v>
      </c>
      <c r="B362" s="656" t="s">
        <v>33</v>
      </c>
      <c r="C362" s="655" t="s">
        <v>2793</v>
      </c>
      <c r="D362" s="656" t="s">
        <v>712</v>
      </c>
      <c r="E362" s="656" t="s">
        <v>132</v>
      </c>
      <c r="F362" s="655">
        <v>7601</v>
      </c>
      <c r="G362" s="656" t="s">
        <v>89</v>
      </c>
      <c r="H362" s="656" t="s">
        <v>1183</v>
      </c>
      <c r="I362" s="656" t="s">
        <v>58</v>
      </c>
      <c r="J362" s="655">
        <v>22</v>
      </c>
      <c r="K362" s="655">
        <v>1</v>
      </c>
      <c r="L362" s="656" t="s">
        <v>34</v>
      </c>
      <c r="M362" s="656" t="s">
        <v>35</v>
      </c>
      <c r="N362" s="656" t="s">
        <v>36</v>
      </c>
      <c r="O362" s="656" t="s">
        <v>37</v>
      </c>
      <c r="P362" s="656" t="s">
        <v>1176</v>
      </c>
      <c r="Q362" s="657">
        <v>0</v>
      </c>
      <c r="R362" s="657">
        <v>0</v>
      </c>
      <c r="S362" s="657">
        <v>23600</v>
      </c>
      <c r="T362" s="657">
        <v>23600</v>
      </c>
      <c r="U362" s="657">
        <v>2669</v>
      </c>
      <c r="V362" s="655">
        <v>2021</v>
      </c>
      <c r="W362" s="659"/>
      <c r="X362" s="660">
        <f t="shared" si="17"/>
        <v>8.842263019857624</v>
      </c>
      <c r="Y362" s="661" t="str">
        <f t="shared" si="15"/>
        <v/>
      </c>
      <c r="Z362" s="661" t="str">
        <f t="shared" si="16"/>
        <v/>
      </c>
    </row>
    <row r="363" spans="1:26" s="128" customFormat="1" ht="25" hidden="1">
      <c r="A363" s="655">
        <v>3725</v>
      </c>
      <c r="B363" s="656" t="s">
        <v>33</v>
      </c>
      <c r="C363" s="655" t="s">
        <v>2793</v>
      </c>
      <c r="D363" s="656" t="s">
        <v>1590</v>
      </c>
      <c r="E363" s="656" t="s">
        <v>132</v>
      </c>
      <c r="F363" s="655">
        <v>7601</v>
      </c>
      <c r="G363" s="656" t="s">
        <v>89</v>
      </c>
      <c r="H363" s="656" t="s">
        <v>1183</v>
      </c>
      <c r="I363" s="656" t="s">
        <v>58</v>
      </c>
      <c r="J363" s="655">
        <v>22</v>
      </c>
      <c r="K363" s="655">
        <v>1</v>
      </c>
      <c r="L363" s="656" t="s">
        <v>34</v>
      </c>
      <c r="M363" s="656" t="s">
        <v>35</v>
      </c>
      <c r="N363" s="656" t="s">
        <v>36</v>
      </c>
      <c r="O363" s="656" t="s">
        <v>37</v>
      </c>
      <c r="P363" s="656" t="s">
        <v>1176</v>
      </c>
      <c r="Q363" s="657">
        <v>0</v>
      </c>
      <c r="R363" s="657">
        <v>0</v>
      </c>
      <c r="S363" s="657">
        <v>43410</v>
      </c>
      <c r="T363" s="657">
        <v>43410</v>
      </c>
      <c r="U363" s="657">
        <v>4909</v>
      </c>
      <c r="V363" s="655">
        <v>2021</v>
      </c>
      <c r="W363" s="659"/>
      <c r="X363" s="660">
        <f t="shared" si="17"/>
        <v>8.8429415359543704</v>
      </c>
      <c r="Y363" s="661" t="str">
        <f t="shared" si="15"/>
        <v/>
      </c>
      <c r="Z363" s="661" t="str">
        <f t="shared" si="16"/>
        <v/>
      </c>
    </row>
    <row r="364" spans="1:26" s="128" customFormat="1" ht="25" hidden="1">
      <c r="A364" s="655">
        <v>3728</v>
      </c>
      <c r="B364" s="656" t="s">
        <v>33</v>
      </c>
      <c r="C364" s="655" t="s">
        <v>2793</v>
      </c>
      <c r="D364" s="656" t="s">
        <v>713</v>
      </c>
      <c r="E364" s="656" t="s">
        <v>132</v>
      </c>
      <c r="F364" s="655">
        <v>7601</v>
      </c>
      <c r="G364" s="656" t="s">
        <v>89</v>
      </c>
      <c r="H364" s="656" t="s">
        <v>1183</v>
      </c>
      <c r="I364" s="656" t="s">
        <v>58</v>
      </c>
      <c r="J364" s="655">
        <v>22</v>
      </c>
      <c r="K364" s="655">
        <v>1</v>
      </c>
      <c r="L364" s="656" t="s">
        <v>34</v>
      </c>
      <c r="M364" s="656" t="s">
        <v>35</v>
      </c>
      <c r="N364" s="656" t="s">
        <v>36</v>
      </c>
      <c r="O364" s="656" t="s">
        <v>37</v>
      </c>
      <c r="P364" s="656" t="s">
        <v>1176</v>
      </c>
      <c r="Q364" s="657">
        <v>0</v>
      </c>
      <c r="R364" s="657">
        <v>0</v>
      </c>
      <c r="S364" s="657">
        <v>126888</v>
      </c>
      <c r="T364" s="657">
        <v>126888</v>
      </c>
      <c r="U364" s="657">
        <v>14349</v>
      </c>
      <c r="V364" s="655">
        <v>2021</v>
      </c>
      <c r="W364" s="659"/>
      <c r="X364" s="660">
        <f t="shared" si="17"/>
        <v>8.8429855739075887</v>
      </c>
      <c r="Y364" s="661" t="str">
        <f t="shared" si="15"/>
        <v/>
      </c>
      <c r="Z364" s="661" t="str">
        <f t="shared" si="16"/>
        <v/>
      </c>
    </row>
    <row r="365" spans="1:26" s="128" customFormat="1" hidden="1">
      <c r="A365" s="655">
        <v>3731</v>
      </c>
      <c r="B365" s="656" t="s">
        <v>33</v>
      </c>
      <c r="C365" s="655" t="s">
        <v>2793</v>
      </c>
      <c r="D365" s="656" t="s">
        <v>714</v>
      </c>
      <c r="E365" s="656" t="s">
        <v>715</v>
      </c>
      <c r="F365" s="655">
        <v>49852</v>
      </c>
      <c r="G365" s="656" t="s">
        <v>89</v>
      </c>
      <c r="H365" s="656" t="s">
        <v>1183</v>
      </c>
      <c r="I365" s="656" t="s">
        <v>58</v>
      </c>
      <c r="J365" s="655">
        <v>22</v>
      </c>
      <c r="K365" s="655">
        <v>2</v>
      </c>
      <c r="L365" s="656" t="s">
        <v>52</v>
      </c>
      <c r="M365" s="656" t="s">
        <v>35</v>
      </c>
      <c r="N365" s="656" t="s">
        <v>36</v>
      </c>
      <c r="O365" s="656" t="s">
        <v>37</v>
      </c>
      <c r="P365" s="656" t="s">
        <v>1176</v>
      </c>
      <c r="Q365" s="657">
        <v>0</v>
      </c>
      <c r="R365" s="657">
        <v>0</v>
      </c>
      <c r="S365" s="657">
        <v>76207</v>
      </c>
      <c r="T365" s="657">
        <v>76207</v>
      </c>
      <c r="U365" s="657">
        <v>8618</v>
      </c>
      <c r="V365" s="655">
        <v>2021</v>
      </c>
      <c r="W365" s="659"/>
      <c r="X365" s="660">
        <f t="shared" si="17"/>
        <v>8.8427709445346956</v>
      </c>
      <c r="Y365" s="661" t="str">
        <f t="shared" si="15"/>
        <v/>
      </c>
      <c r="Z365" s="661" t="str">
        <f t="shared" si="16"/>
        <v/>
      </c>
    </row>
    <row r="366" spans="1:26" s="128" customFormat="1" ht="25" hidden="1">
      <c r="A366" s="655">
        <v>3734</v>
      </c>
      <c r="B366" s="656" t="s">
        <v>33</v>
      </c>
      <c r="C366" s="655" t="s">
        <v>2793</v>
      </c>
      <c r="D366" s="656" t="s">
        <v>556</v>
      </c>
      <c r="E366" s="656" t="s">
        <v>132</v>
      </c>
      <c r="F366" s="655">
        <v>7601</v>
      </c>
      <c r="G366" s="656" t="s">
        <v>89</v>
      </c>
      <c r="H366" s="656" t="s">
        <v>1183</v>
      </c>
      <c r="I366" s="656" t="s">
        <v>58</v>
      </c>
      <c r="J366" s="655">
        <v>22</v>
      </c>
      <c r="K366" s="655">
        <v>1</v>
      </c>
      <c r="L366" s="656" t="s">
        <v>34</v>
      </c>
      <c r="M366" s="656" t="s">
        <v>50</v>
      </c>
      <c r="N366" s="656" t="s">
        <v>46</v>
      </c>
      <c r="O366" s="656" t="s">
        <v>46</v>
      </c>
      <c r="P366" s="656" t="s">
        <v>47</v>
      </c>
      <c r="Q366" s="657">
        <v>0</v>
      </c>
      <c r="R366" s="657">
        <v>0</v>
      </c>
      <c r="S366" s="657">
        <v>0</v>
      </c>
      <c r="T366" s="657">
        <v>0</v>
      </c>
      <c r="U366" s="657">
        <v>0</v>
      </c>
      <c r="V366" s="655">
        <v>2021</v>
      </c>
      <c r="W366" s="659" t="s">
        <v>3675</v>
      </c>
      <c r="X366" s="660" t="str">
        <f t="shared" si="17"/>
        <v/>
      </c>
      <c r="Y366" s="661" t="str">
        <f t="shared" si="15"/>
        <v/>
      </c>
      <c r="Z366" s="661" t="str">
        <f t="shared" si="16"/>
        <v/>
      </c>
    </row>
    <row r="367" spans="1:26" s="128" customFormat="1" ht="25" hidden="1">
      <c r="A367" s="655">
        <v>3734</v>
      </c>
      <c r="B367" s="656" t="s">
        <v>33</v>
      </c>
      <c r="C367" s="655" t="s">
        <v>2793</v>
      </c>
      <c r="D367" s="656" t="s">
        <v>556</v>
      </c>
      <c r="E367" s="656" t="s">
        <v>132</v>
      </c>
      <c r="F367" s="655">
        <v>7601</v>
      </c>
      <c r="G367" s="656" t="s">
        <v>89</v>
      </c>
      <c r="H367" s="656" t="s">
        <v>1183</v>
      </c>
      <c r="I367" s="656" t="s">
        <v>58</v>
      </c>
      <c r="J367" s="655">
        <v>22</v>
      </c>
      <c r="K367" s="655">
        <v>1</v>
      </c>
      <c r="L367" s="656" t="s">
        <v>34</v>
      </c>
      <c r="M367" s="656" t="s">
        <v>50</v>
      </c>
      <c r="N367" s="656" t="s">
        <v>66</v>
      </c>
      <c r="O367" s="656" t="s">
        <v>67</v>
      </c>
      <c r="P367" s="656" t="s">
        <v>47</v>
      </c>
      <c r="Q367" s="657">
        <v>0</v>
      </c>
      <c r="R367" s="657">
        <v>0</v>
      </c>
      <c r="S367" s="657">
        <v>0</v>
      </c>
      <c r="T367" s="657">
        <v>0</v>
      </c>
      <c r="U367" s="657">
        <v>0</v>
      </c>
      <c r="V367" s="655">
        <v>2021</v>
      </c>
      <c r="W367" s="659" t="s">
        <v>3675</v>
      </c>
      <c r="X367" s="660" t="str">
        <f t="shared" si="17"/>
        <v/>
      </c>
      <c r="Y367" s="661" t="str">
        <f t="shared" si="15"/>
        <v/>
      </c>
      <c r="Z367" s="661" t="str">
        <f t="shared" si="16"/>
        <v/>
      </c>
    </row>
    <row r="368" spans="1:26" s="128" customFormat="1" ht="25" hidden="1">
      <c r="A368" s="655">
        <v>3734</v>
      </c>
      <c r="B368" s="656" t="s">
        <v>33</v>
      </c>
      <c r="C368" s="655" t="s">
        <v>2793</v>
      </c>
      <c r="D368" s="656" t="s">
        <v>556</v>
      </c>
      <c r="E368" s="656" t="s">
        <v>132</v>
      </c>
      <c r="F368" s="655">
        <v>7601</v>
      </c>
      <c r="G368" s="656" t="s">
        <v>89</v>
      </c>
      <c r="H368" s="656" t="s">
        <v>1183</v>
      </c>
      <c r="I368" s="656" t="s">
        <v>58</v>
      </c>
      <c r="J368" s="655">
        <v>22</v>
      </c>
      <c r="K368" s="655">
        <v>1</v>
      </c>
      <c r="L368" s="656" t="s">
        <v>34</v>
      </c>
      <c r="M368" s="656" t="s">
        <v>50</v>
      </c>
      <c r="N368" s="656" t="s">
        <v>76</v>
      </c>
      <c r="O368" s="656" t="s">
        <v>67</v>
      </c>
      <c r="P368" s="656" t="s">
        <v>47</v>
      </c>
      <c r="Q368" s="657">
        <v>4580</v>
      </c>
      <c r="R368" s="657">
        <v>4580</v>
      </c>
      <c r="S368" s="657">
        <v>26564</v>
      </c>
      <c r="T368" s="657">
        <v>26564</v>
      </c>
      <c r="U368" s="657">
        <v>1325</v>
      </c>
      <c r="V368" s="655">
        <v>2021</v>
      </c>
      <c r="W368" s="659" t="s">
        <v>3675</v>
      </c>
      <c r="X368" s="660">
        <f t="shared" si="17"/>
        <v>20.048301886792451</v>
      </c>
      <c r="Y368" s="661" t="str">
        <f t="shared" si="15"/>
        <v/>
      </c>
      <c r="Z368" s="661" t="str">
        <f t="shared" si="16"/>
        <v/>
      </c>
    </row>
    <row r="369" spans="1:26" s="128" customFormat="1" ht="25" hidden="1">
      <c r="A369" s="655">
        <v>3735</v>
      </c>
      <c r="B369" s="656" t="s">
        <v>33</v>
      </c>
      <c r="C369" s="655" t="s">
        <v>2793</v>
      </c>
      <c r="D369" s="656" t="s">
        <v>716</v>
      </c>
      <c r="E369" s="656" t="s">
        <v>132</v>
      </c>
      <c r="F369" s="655">
        <v>7601</v>
      </c>
      <c r="G369" s="656" t="s">
        <v>89</v>
      </c>
      <c r="H369" s="656" t="s">
        <v>1183</v>
      </c>
      <c r="I369" s="656" t="s">
        <v>58</v>
      </c>
      <c r="J369" s="655">
        <v>22</v>
      </c>
      <c r="K369" s="655">
        <v>1</v>
      </c>
      <c r="L369" s="656" t="s">
        <v>34</v>
      </c>
      <c r="M369" s="656" t="s">
        <v>50</v>
      </c>
      <c r="N369" s="656" t="s">
        <v>46</v>
      </c>
      <c r="O369" s="656" t="s">
        <v>46</v>
      </c>
      <c r="P369" s="656" t="s">
        <v>47</v>
      </c>
      <c r="Q369" s="657">
        <v>803</v>
      </c>
      <c r="R369" s="657">
        <v>803</v>
      </c>
      <c r="S369" s="657">
        <v>4659</v>
      </c>
      <c r="T369" s="657">
        <v>4659</v>
      </c>
      <c r="U369" s="657">
        <v>147</v>
      </c>
      <c r="V369" s="655">
        <v>2021</v>
      </c>
      <c r="W369" s="659"/>
      <c r="X369" s="660">
        <f t="shared" si="17"/>
        <v>31.693877551020407</v>
      </c>
      <c r="Y369" s="661" t="str">
        <f t="shared" si="15"/>
        <v/>
      </c>
      <c r="Z369" s="661" t="str">
        <f t="shared" si="16"/>
        <v/>
      </c>
    </row>
    <row r="370" spans="1:26" s="128" customFormat="1" ht="25" hidden="1">
      <c r="A370" s="655">
        <v>3737</v>
      </c>
      <c r="B370" s="656" t="s">
        <v>33</v>
      </c>
      <c r="C370" s="655" t="s">
        <v>2793</v>
      </c>
      <c r="D370" s="656" t="s">
        <v>133</v>
      </c>
      <c r="E370" s="656" t="s">
        <v>132</v>
      </c>
      <c r="F370" s="655">
        <v>7601</v>
      </c>
      <c r="G370" s="656" t="s">
        <v>89</v>
      </c>
      <c r="H370" s="656" t="s">
        <v>1183</v>
      </c>
      <c r="I370" s="656" t="s">
        <v>58</v>
      </c>
      <c r="J370" s="655">
        <v>22</v>
      </c>
      <c r="K370" s="655">
        <v>1</v>
      </c>
      <c r="L370" s="656" t="s">
        <v>34</v>
      </c>
      <c r="M370" s="656" t="s">
        <v>35</v>
      </c>
      <c r="N370" s="656" t="s">
        <v>36</v>
      </c>
      <c r="O370" s="656" t="s">
        <v>37</v>
      </c>
      <c r="P370" s="656" t="s">
        <v>1176</v>
      </c>
      <c r="Q370" s="657">
        <v>0</v>
      </c>
      <c r="R370" s="657">
        <v>0</v>
      </c>
      <c r="S370" s="657">
        <v>304341</v>
      </c>
      <c r="T370" s="657">
        <v>304341</v>
      </c>
      <c r="U370" s="657">
        <v>34416</v>
      </c>
      <c r="V370" s="655">
        <v>2021</v>
      </c>
      <c r="W370" s="659"/>
      <c r="X370" s="660">
        <f t="shared" si="17"/>
        <v>8.8430090655509073</v>
      </c>
      <c r="Y370" s="661" t="str">
        <f t="shared" si="15"/>
        <v/>
      </c>
      <c r="Z370" s="661" t="str">
        <f t="shared" si="16"/>
        <v/>
      </c>
    </row>
    <row r="371" spans="1:26" s="128" customFormat="1" ht="25" hidden="1">
      <c r="A371" s="655">
        <v>3737</v>
      </c>
      <c r="B371" s="656" t="s">
        <v>33</v>
      </c>
      <c r="C371" s="655" t="s">
        <v>2793</v>
      </c>
      <c r="D371" s="656" t="s">
        <v>133</v>
      </c>
      <c r="E371" s="656" t="s">
        <v>132</v>
      </c>
      <c r="F371" s="655">
        <v>7601</v>
      </c>
      <c r="G371" s="656" t="s">
        <v>89</v>
      </c>
      <c r="H371" s="656" t="s">
        <v>1183</v>
      </c>
      <c r="I371" s="656" t="s">
        <v>58</v>
      </c>
      <c r="J371" s="655">
        <v>22</v>
      </c>
      <c r="K371" s="655">
        <v>1</v>
      </c>
      <c r="L371" s="656" t="s">
        <v>34</v>
      </c>
      <c r="M371" s="656" t="s">
        <v>51</v>
      </c>
      <c r="N371" s="656" t="s">
        <v>46</v>
      </c>
      <c r="O371" s="656" t="s">
        <v>46</v>
      </c>
      <c r="P371" s="656" t="s">
        <v>47</v>
      </c>
      <c r="Q371" s="657">
        <v>225</v>
      </c>
      <c r="R371" s="657">
        <v>225</v>
      </c>
      <c r="S371" s="657">
        <v>1306</v>
      </c>
      <c r="T371" s="657">
        <v>1306</v>
      </c>
      <c r="U371" s="657">
        <v>124</v>
      </c>
      <c r="V371" s="655">
        <v>2021</v>
      </c>
      <c r="W371" s="659"/>
      <c r="X371" s="660">
        <f t="shared" si="17"/>
        <v>10.53225806451613</v>
      </c>
      <c r="Y371" s="661" t="str">
        <f t="shared" si="15"/>
        <v/>
      </c>
      <c r="Z371" s="661" t="str">
        <f t="shared" si="16"/>
        <v/>
      </c>
    </row>
    <row r="372" spans="1:26" s="128" customFormat="1" ht="25" hidden="1">
      <c r="A372" s="655">
        <v>3739</v>
      </c>
      <c r="B372" s="656" t="s">
        <v>33</v>
      </c>
      <c r="C372" s="655" t="s">
        <v>2793</v>
      </c>
      <c r="D372" s="656" t="s">
        <v>717</v>
      </c>
      <c r="E372" s="656" t="s">
        <v>132</v>
      </c>
      <c r="F372" s="655">
        <v>7601</v>
      </c>
      <c r="G372" s="656" t="s">
        <v>89</v>
      </c>
      <c r="H372" s="656" t="s">
        <v>1183</v>
      </c>
      <c r="I372" s="656" t="s">
        <v>58</v>
      </c>
      <c r="J372" s="655">
        <v>22</v>
      </c>
      <c r="K372" s="655">
        <v>1</v>
      </c>
      <c r="L372" s="656" t="s">
        <v>34</v>
      </c>
      <c r="M372" s="656" t="s">
        <v>35</v>
      </c>
      <c r="N372" s="656" t="s">
        <v>36</v>
      </c>
      <c r="O372" s="656" t="s">
        <v>37</v>
      </c>
      <c r="P372" s="656" t="s">
        <v>1176</v>
      </c>
      <c r="Q372" s="657">
        <v>0</v>
      </c>
      <c r="R372" s="657">
        <v>0</v>
      </c>
      <c r="S372" s="657">
        <v>54863</v>
      </c>
      <c r="T372" s="657">
        <v>54863</v>
      </c>
      <c r="U372" s="657">
        <v>6204</v>
      </c>
      <c r="V372" s="655">
        <v>2021</v>
      </c>
      <c r="W372" s="659"/>
      <c r="X372" s="660">
        <f t="shared" si="17"/>
        <v>8.8431656995486776</v>
      </c>
      <c r="Y372" s="661" t="str">
        <f t="shared" si="15"/>
        <v/>
      </c>
      <c r="Z372" s="661" t="str">
        <f t="shared" si="16"/>
        <v/>
      </c>
    </row>
    <row r="373" spans="1:26" s="128" customFormat="1" ht="25" hidden="1">
      <c r="A373" s="655">
        <v>3740</v>
      </c>
      <c r="B373" s="656" t="s">
        <v>33</v>
      </c>
      <c r="C373" s="655" t="s">
        <v>2793</v>
      </c>
      <c r="D373" s="656" t="s">
        <v>718</v>
      </c>
      <c r="E373" s="656" t="s">
        <v>132</v>
      </c>
      <c r="F373" s="655">
        <v>7601</v>
      </c>
      <c r="G373" s="656" t="s">
        <v>89</v>
      </c>
      <c r="H373" s="656" t="s">
        <v>1183</v>
      </c>
      <c r="I373" s="656" t="s">
        <v>58</v>
      </c>
      <c r="J373" s="655">
        <v>22</v>
      </c>
      <c r="K373" s="655">
        <v>1</v>
      </c>
      <c r="L373" s="656" t="s">
        <v>34</v>
      </c>
      <c r="M373" s="656" t="s">
        <v>35</v>
      </c>
      <c r="N373" s="656" t="s">
        <v>36</v>
      </c>
      <c r="O373" s="656" t="s">
        <v>37</v>
      </c>
      <c r="P373" s="656" t="s">
        <v>1176</v>
      </c>
      <c r="Q373" s="657">
        <v>0</v>
      </c>
      <c r="R373" s="657">
        <v>0</v>
      </c>
      <c r="S373" s="657">
        <v>75962</v>
      </c>
      <c r="T373" s="657">
        <v>75962</v>
      </c>
      <c r="U373" s="657">
        <v>8590</v>
      </c>
      <c r="V373" s="655">
        <v>2021</v>
      </c>
      <c r="W373" s="659"/>
      <c r="X373" s="660">
        <f t="shared" si="17"/>
        <v>8.8430733410942963</v>
      </c>
      <c r="Y373" s="661" t="str">
        <f t="shared" si="15"/>
        <v/>
      </c>
      <c r="Z373" s="661" t="str">
        <f t="shared" si="16"/>
        <v/>
      </c>
    </row>
    <row r="374" spans="1:26" s="128" customFormat="1" ht="25" hidden="1">
      <c r="A374" s="655">
        <v>3743</v>
      </c>
      <c r="B374" s="656" t="s">
        <v>33</v>
      </c>
      <c r="C374" s="655" t="s">
        <v>2793</v>
      </c>
      <c r="D374" s="656" t="s">
        <v>719</v>
      </c>
      <c r="E374" s="656" t="s">
        <v>132</v>
      </c>
      <c r="F374" s="655">
        <v>7601</v>
      </c>
      <c r="G374" s="656" t="s">
        <v>89</v>
      </c>
      <c r="H374" s="656" t="s">
        <v>1183</v>
      </c>
      <c r="I374" s="656" t="s">
        <v>58</v>
      </c>
      <c r="J374" s="655">
        <v>22</v>
      </c>
      <c r="K374" s="655">
        <v>1</v>
      </c>
      <c r="L374" s="656" t="s">
        <v>34</v>
      </c>
      <c r="M374" s="656" t="s">
        <v>35</v>
      </c>
      <c r="N374" s="656" t="s">
        <v>36</v>
      </c>
      <c r="O374" s="656" t="s">
        <v>37</v>
      </c>
      <c r="P374" s="656" t="s">
        <v>1176</v>
      </c>
      <c r="Q374" s="657">
        <v>0</v>
      </c>
      <c r="R374" s="657">
        <v>0</v>
      </c>
      <c r="S374" s="657">
        <v>20056</v>
      </c>
      <c r="T374" s="657">
        <v>20056</v>
      </c>
      <c r="U374" s="657">
        <v>2268</v>
      </c>
      <c r="V374" s="655">
        <v>2021</v>
      </c>
      <c r="W374" s="659"/>
      <c r="X374" s="660">
        <f t="shared" si="17"/>
        <v>8.8430335097001755</v>
      </c>
      <c r="Y374" s="661" t="str">
        <f t="shared" si="15"/>
        <v/>
      </c>
      <c r="Z374" s="661" t="str">
        <f t="shared" si="16"/>
        <v/>
      </c>
    </row>
    <row r="375" spans="1:26" s="128" customFormat="1" hidden="1">
      <c r="A375" s="655">
        <v>3745</v>
      </c>
      <c r="B375" s="656" t="s">
        <v>33</v>
      </c>
      <c r="C375" s="655" t="s">
        <v>2793</v>
      </c>
      <c r="D375" s="656" t="s">
        <v>720</v>
      </c>
      <c r="E375" s="656" t="s">
        <v>2125</v>
      </c>
      <c r="F375" s="655">
        <v>61122</v>
      </c>
      <c r="G375" s="656" t="s">
        <v>89</v>
      </c>
      <c r="H375" s="656" t="s">
        <v>1183</v>
      </c>
      <c r="I375" s="656" t="s">
        <v>58</v>
      </c>
      <c r="J375" s="655">
        <v>22</v>
      </c>
      <c r="K375" s="655">
        <v>2</v>
      </c>
      <c r="L375" s="656" t="s">
        <v>52</v>
      </c>
      <c r="M375" s="656" t="s">
        <v>35</v>
      </c>
      <c r="N375" s="656" t="s">
        <v>36</v>
      </c>
      <c r="O375" s="656" t="s">
        <v>37</v>
      </c>
      <c r="P375" s="656" t="s">
        <v>1176</v>
      </c>
      <c r="Q375" s="657">
        <v>0</v>
      </c>
      <c r="R375" s="657">
        <v>0</v>
      </c>
      <c r="S375" s="657">
        <v>2006955</v>
      </c>
      <c r="T375" s="657">
        <v>2006955</v>
      </c>
      <c r="U375" s="657">
        <v>226954</v>
      </c>
      <c r="V375" s="655">
        <v>2021</v>
      </c>
      <c r="W375" s="659"/>
      <c r="X375" s="660">
        <f t="shared" si="17"/>
        <v>8.843003428007437</v>
      </c>
      <c r="Y375" s="661" t="str">
        <f t="shared" si="15"/>
        <v/>
      </c>
      <c r="Z375" s="661" t="str">
        <f t="shared" si="16"/>
        <v/>
      </c>
    </row>
    <row r="376" spans="1:26" s="128" customFormat="1" hidden="1">
      <c r="A376" s="655">
        <v>3746</v>
      </c>
      <c r="B376" s="656" t="s">
        <v>33</v>
      </c>
      <c r="C376" s="655" t="s">
        <v>2793</v>
      </c>
      <c r="D376" s="656" t="s">
        <v>721</v>
      </c>
      <c r="E376" s="656" t="s">
        <v>2125</v>
      </c>
      <c r="F376" s="655">
        <v>61122</v>
      </c>
      <c r="G376" s="656" t="s">
        <v>89</v>
      </c>
      <c r="H376" s="656" t="s">
        <v>1183</v>
      </c>
      <c r="I376" s="656" t="s">
        <v>58</v>
      </c>
      <c r="J376" s="655">
        <v>22</v>
      </c>
      <c r="K376" s="655">
        <v>2</v>
      </c>
      <c r="L376" s="656" t="s">
        <v>52</v>
      </c>
      <c r="M376" s="656" t="s">
        <v>35</v>
      </c>
      <c r="N376" s="656" t="s">
        <v>36</v>
      </c>
      <c r="O376" s="656" t="s">
        <v>37</v>
      </c>
      <c r="P376" s="656" t="s">
        <v>1176</v>
      </c>
      <c r="Q376" s="657">
        <v>0</v>
      </c>
      <c r="R376" s="657">
        <v>0</v>
      </c>
      <c r="S376" s="657">
        <v>988844</v>
      </c>
      <c r="T376" s="657">
        <v>988844</v>
      </c>
      <c r="U376" s="657">
        <v>111822</v>
      </c>
      <c r="V376" s="655">
        <v>2021</v>
      </c>
      <c r="W376" s="659"/>
      <c r="X376" s="660">
        <f t="shared" si="17"/>
        <v>8.8430183684784751</v>
      </c>
      <c r="Y376" s="661" t="str">
        <f t="shared" si="15"/>
        <v/>
      </c>
      <c r="Z376" s="661" t="str">
        <f t="shared" si="16"/>
        <v/>
      </c>
    </row>
    <row r="377" spans="1:26" s="128" customFormat="1" ht="25" hidden="1">
      <c r="A377" s="655">
        <v>3750</v>
      </c>
      <c r="B377" s="656" t="s">
        <v>33</v>
      </c>
      <c r="C377" s="655" t="s">
        <v>2793</v>
      </c>
      <c r="D377" s="656" t="s">
        <v>722</v>
      </c>
      <c r="E377" s="656" t="s">
        <v>2313</v>
      </c>
      <c r="F377" s="655">
        <v>62775</v>
      </c>
      <c r="G377" s="656" t="s">
        <v>89</v>
      </c>
      <c r="H377" s="656" t="s">
        <v>1183</v>
      </c>
      <c r="I377" s="656" t="s">
        <v>58</v>
      </c>
      <c r="J377" s="655">
        <v>22</v>
      </c>
      <c r="K377" s="655">
        <v>2</v>
      </c>
      <c r="L377" s="656" t="s">
        <v>52</v>
      </c>
      <c r="M377" s="656" t="s">
        <v>35</v>
      </c>
      <c r="N377" s="656" t="s">
        <v>36</v>
      </c>
      <c r="O377" s="656" t="s">
        <v>37</v>
      </c>
      <c r="P377" s="656" t="s">
        <v>1176</v>
      </c>
      <c r="Q377" s="657">
        <v>0</v>
      </c>
      <c r="R377" s="657">
        <v>0</v>
      </c>
      <c r="S377" s="657">
        <v>36415</v>
      </c>
      <c r="T377" s="657">
        <v>36415</v>
      </c>
      <c r="U377" s="657">
        <v>4118</v>
      </c>
      <c r="V377" s="655">
        <v>2021</v>
      </c>
      <c r="W377" s="659"/>
      <c r="X377" s="660">
        <f t="shared" si="17"/>
        <v>8.8428848955803794</v>
      </c>
      <c r="Y377" s="661" t="str">
        <f t="shared" si="15"/>
        <v/>
      </c>
      <c r="Z377" s="661" t="str">
        <f t="shared" si="16"/>
        <v/>
      </c>
    </row>
    <row r="378" spans="1:26" s="128" customFormat="1" hidden="1">
      <c r="A378" s="655">
        <v>3753</v>
      </c>
      <c r="B378" s="656" t="s">
        <v>33</v>
      </c>
      <c r="C378" s="655" t="s">
        <v>2793</v>
      </c>
      <c r="D378" s="656" t="s">
        <v>723</v>
      </c>
      <c r="E378" s="656" t="s">
        <v>724</v>
      </c>
      <c r="F378" s="655">
        <v>1299</v>
      </c>
      <c r="G378" s="656" t="s">
        <v>89</v>
      </c>
      <c r="H378" s="656" t="s">
        <v>1183</v>
      </c>
      <c r="I378" s="656" t="s">
        <v>58</v>
      </c>
      <c r="J378" s="655">
        <v>22</v>
      </c>
      <c r="K378" s="655">
        <v>1</v>
      </c>
      <c r="L378" s="656" t="s">
        <v>34</v>
      </c>
      <c r="M378" s="656" t="s">
        <v>35</v>
      </c>
      <c r="N378" s="656" t="s">
        <v>36</v>
      </c>
      <c r="O378" s="656" t="s">
        <v>37</v>
      </c>
      <c r="P378" s="656" t="s">
        <v>1176</v>
      </c>
      <c r="Q378" s="657">
        <v>0</v>
      </c>
      <c r="R378" s="657">
        <v>0</v>
      </c>
      <c r="S378" s="657">
        <v>36337</v>
      </c>
      <c r="T378" s="657">
        <v>36337</v>
      </c>
      <c r="U378" s="657">
        <v>4109</v>
      </c>
      <c r="V378" s="655">
        <v>2021</v>
      </c>
      <c r="W378" s="659"/>
      <c r="X378" s="660">
        <f t="shared" si="17"/>
        <v>8.843270868824531</v>
      </c>
      <c r="Y378" s="661" t="str">
        <f t="shared" si="15"/>
        <v/>
      </c>
      <c r="Z378" s="661" t="str">
        <f t="shared" si="16"/>
        <v/>
      </c>
    </row>
    <row r="379" spans="1:26" s="128" customFormat="1" hidden="1">
      <c r="A379" s="655">
        <v>3753</v>
      </c>
      <c r="B379" s="656" t="s">
        <v>33</v>
      </c>
      <c r="C379" s="655" t="s">
        <v>2793</v>
      </c>
      <c r="D379" s="656" t="s">
        <v>723</v>
      </c>
      <c r="E379" s="656" t="s">
        <v>724</v>
      </c>
      <c r="F379" s="655">
        <v>1299</v>
      </c>
      <c r="G379" s="656" t="s">
        <v>89</v>
      </c>
      <c r="H379" s="656" t="s">
        <v>1183</v>
      </c>
      <c r="I379" s="656" t="s">
        <v>58</v>
      </c>
      <c r="J379" s="655">
        <v>22</v>
      </c>
      <c r="K379" s="655">
        <v>1</v>
      </c>
      <c r="L379" s="656" t="s">
        <v>34</v>
      </c>
      <c r="M379" s="656" t="s">
        <v>42</v>
      </c>
      <c r="N379" s="656" t="s">
        <v>46</v>
      </c>
      <c r="O379" s="656" t="s">
        <v>46</v>
      </c>
      <c r="P379" s="656" t="s">
        <v>47</v>
      </c>
      <c r="Q379" s="657">
        <v>0</v>
      </c>
      <c r="R379" s="657">
        <v>0</v>
      </c>
      <c r="S379" s="657">
        <v>0</v>
      </c>
      <c r="T379" s="657">
        <v>0</v>
      </c>
      <c r="U379" s="657">
        <v>0</v>
      </c>
      <c r="V379" s="655">
        <v>2021</v>
      </c>
      <c r="W379" s="659"/>
      <c r="X379" s="660" t="str">
        <f t="shared" si="17"/>
        <v/>
      </c>
      <c r="Y379" s="661" t="str">
        <f t="shared" si="15"/>
        <v/>
      </c>
      <c r="Z379" s="661" t="str">
        <f t="shared" si="16"/>
        <v/>
      </c>
    </row>
    <row r="380" spans="1:26" s="128" customFormat="1" ht="25" hidden="1">
      <c r="A380" s="655">
        <v>3754</v>
      </c>
      <c r="B380" s="656" t="s">
        <v>33</v>
      </c>
      <c r="C380" s="655" t="s">
        <v>2793</v>
      </c>
      <c r="D380" s="656" t="s">
        <v>725</v>
      </c>
      <c r="E380" s="656" t="s">
        <v>1099</v>
      </c>
      <c r="F380" s="655">
        <v>2548</v>
      </c>
      <c r="G380" s="656" t="s">
        <v>89</v>
      </c>
      <c r="H380" s="656" t="s">
        <v>1183</v>
      </c>
      <c r="I380" s="656" t="s">
        <v>58</v>
      </c>
      <c r="J380" s="655">
        <v>22</v>
      </c>
      <c r="K380" s="655">
        <v>1</v>
      </c>
      <c r="L380" s="656" t="s">
        <v>34</v>
      </c>
      <c r="M380" s="656" t="s">
        <v>50</v>
      </c>
      <c r="N380" s="656" t="s">
        <v>46</v>
      </c>
      <c r="O380" s="656" t="s">
        <v>46</v>
      </c>
      <c r="P380" s="656" t="s">
        <v>47</v>
      </c>
      <c r="Q380" s="657">
        <v>1271</v>
      </c>
      <c r="R380" s="657">
        <v>1271</v>
      </c>
      <c r="S380" s="657">
        <v>6994</v>
      </c>
      <c r="T380" s="657">
        <v>6994</v>
      </c>
      <c r="U380" s="657">
        <v>375</v>
      </c>
      <c r="V380" s="655">
        <v>2021</v>
      </c>
      <c r="W380" s="659" t="s">
        <v>3675</v>
      </c>
      <c r="X380" s="660">
        <f t="shared" si="17"/>
        <v>18.650666666666666</v>
      </c>
      <c r="Y380" s="661" t="str">
        <f t="shared" si="15"/>
        <v/>
      </c>
      <c r="Z380" s="661" t="str">
        <f t="shared" si="16"/>
        <v/>
      </c>
    </row>
    <row r="381" spans="1:26" s="128" customFormat="1" ht="25" hidden="1">
      <c r="A381" s="655">
        <v>3754</v>
      </c>
      <c r="B381" s="656" t="s">
        <v>33</v>
      </c>
      <c r="C381" s="655" t="s">
        <v>2793</v>
      </c>
      <c r="D381" s="656" t="s">
        <v>725</v>
      </c>
      <c r="E381" s="656" t="s">
        <v>1099</v>
      </c>
      <c r="F381" s="655">
        <v>2548</v>
      </c>
      <c r="G381" s="656" t="s">
        <v>89</v>
      </c>
      <c r="H381" s="656" t="s">
        <v>1183</v>
      </c>
      <c r="I381" s="656" t="s">
        <v>58</v>
      </c>
      <c r="J381" s="655">
        <v>22</v>
      </c>
      <c r="K381" s="655">
        <v>1</v>
      </c>
      <c r="L381" s="656" t="s">
        <v>34</v>
      </c>
      <c r="M381" s="656" t="s">
        <v>50</v>
      </c>
      <c r="N381" s="656" t="s">
        <v>61</v>
      </c>
      <c r="O381" s="656" t="s">
        <v>61</v>
      </c>
      <c r="P381" s="656" t="s">
        <v>47</v>
      </c>
      <c r="Q381" s="657">
        <v>0</v>
      </c>
      <c r="R381" s="657">
        <v>0</v>
      </c>
      <c r="S381" s="657">
        <v>0</v>
      </c>
      <c r="T381" s="657">
        <v>0</v>
      </c>
      <c r="U381" s="657">
        <v>0</v>
      </c>
      <c r="V381" s="655">
        <v>2021</v>
      </c>
      <c r="W381" s="659" t="s">
        <v>3675</v>
      </c>
      <c r="X381" s="660" t="str">
        <f t="shared" si="17"/>
        <v/>
      </c>
      <c r="Y381" s="661" t="str">
        <f t="shared" si="15"/>
        <v/>
      </c>
      <c r="Z381" s="661" t="str">
        <f t="shared" si="16"/>
        <v/>
      </c>
    </row>
    <row r="382" spans="1:26" s="128" customFormat="1" hidden="1">
      <c r="A382" s="655">
        <v>3762</v>
      </c>
      <c r="B382" s="656" t="s">
        <v>33</v>
      </c>
      <c r="C382" s="655" t="s">
        <v>2793</v>
      </c>
      <c r="D382" s="656" t="s">
        <v>1591</v>
      </c>
      <c r="E382" s="656" t="s">
        <v>1044</v>
      </c>
      <c r="F382" s="655">
        <v>11359</v>
      </c>
      <c r="G382" s="656" t="s">
        <v>89</v>
      </c>
      <c r="H382" s="656" t="s">
        <v>1183</v>
      </c>
      <c r="I382" s="656" t="s">
        <v>58</v>
      </c>
      <c r="J382" s="655">
        <v>22</v>
      </c>
      <c r="K382" s="655">
        <v>1</v>
      </c>
      <c r="L382" s="656" t="s">
        <v>34</v>
      </c>
      <c r="M382" s="656" t="s">
        <v>35</v>
      </c>
      <c r="N382" s="656" t="s">
        <v>36</v>
      </c>
      <c r="O382" s="656" t="s">
        <v>37</v>
      </c>
      <c r="P382" s="656" t="s">
        <v>1176</v>
      </c>
      <c r="Q382" s="657">
        <v>0</v>
      </c>
      <c r="R382" s="657">
        <v>0</v>
      </c>
      <c r="S382" s="657">
        <v>19189</v>
      </c>
      <c r="T382" s="657">
        <v>19189</v>
      </c>
      <c r="U382" s="657">
        <v>2170</v>
      </c>
      <c r="V382" s="655">
        <v>2021</v>
      </c>
      <c r="W382" s="659"/>
      <c r="X382" s="660">
        <f t="shared" si="17"/>
        <v>8.8428571428571434</v>
      </c>
      <c r="Y382" s="661" t="str">
        <f t="shared" si="15"/>
        <v/>
      </c>
      <c r="Z382" s="661" t="str">
        <f t="shared" si="16"/>
        <v/>
      </c>
    </row>
    <row r="383" spans="1:26" s="128" customFormat="1" hidden="1">
      <c r="A383" s="655">
        <v>3764</v>
      </c>
      <c r="B383" s="656" t="s">
        <v>33</v>
      </c>
      <c r="C383" s="655" t="s">
        <v>2793</v>
      </c>
      <c r="D383" s="656" t="s">
        <v>726</v>
      </c>
      <c r="E383" s="656" t="s">
        <v>1566</v>
      </c>
      <c r="F383" s="655">
        <v>12989</v>
      </c>
      <c r="G383" s="656" t="s">
        <v>89</v>
      </c>
      <c r="H383" s="656" t="s">
        <v>1183</v>
      </c>
      <c r="I383" s="656" t="s">
        <v>58</v>
      </c>
      <c r="J383" s="655">
        <v>22</v>
      </c>
      <c r="K383" s="655">
        <v>1</v>
      </c>
      <c r="L383" s="656" t="s">
        <v>34</v>
      </c>
      <c r="M383" s="656" t="s">
        <v>35</v>
      </c>
      <c r="N383" s="656" t="s">
        <v>36</v>
      </c>
      <c r="O383" s="656" t="s">
        <v>37</v>
      </c>
      <c r="P383" s="656" t="s">
        <v>1176</v>
      </c>
      <c r="Q383" s="657">
        <v>0</v>
      </c>
      <c r="R383" s="657">
        <v>0</v>
      </c>
      <c r="S383" s="657">
        <v>20287</v>
      </c>
      <c r="T383" s="657">
        <v>20287</v>
      </c>
      <c r="U383" s="657">
        <v>2294</v>
      </c>
      <c r="V383" s="655">
        <v>2021</v>
      </c>
      <c r="W383" s="659"/>
      <c r="X383" s="660">
        <f t="shared" si="17"/>
        <v>8.843504795117699</v>
      </c>
      <c r="Y383" s="661" t="str">
        <f t="shared" si="15"/>
        <v/>
      </c>
      <c r="Z383" s="661" t="str">
        <f t="shared" si="16"/>
        <v/>
      </c>
    </row>
    <row r="384" spans="1:26" s="128" customFormat="1" hidden="1">
      <c r="A384" s="655">
        <v>3765</v>
      </c>
      <c r="B384" s="656" t="s">
        <v>33</v>
      </c>
      <c r="C384" s="655" t="s">
        <v>2793</v>
      </c>
      <c r="D384" s="656" t="s">
        <v>727</v>
      </c>
      <c r="E384" s="656" t="s">
        <v>1566</v>
      </c>
      <c r="F384" s="655">
        <v>12989</v>
      </c>
      <c r="G384" s="656" t="s">
        <v>89</v>
      </c>
      <c r="H384" s="656" t="s">
        <v>1183</v>
      </c>
      <c r="I384" s="656" t="s">
        <v>58</v>
      </c>
      <c r="J384" s="655">
        <v>22</v>
      </c>
      <c r="K384" s="655">
        <v>1</v>
      </c>
      <c r="L384" s="656" t="s">
        <v>34</v>
      </c>
      <c r="M384" s="656" t="s">
        <v>35</v>
      </c>
      <c r="N384" s="656" t="s">
        <v>36</v>
      </c>
      <c r="O384" s="656" t="s">
        <v>37</v>
      </c>
      <c r="P384" s="656" t="s">
        <v>1176</v>
      </c>
      <c r="Q384" s="657">
        <v>0</v>
      </c>
      <c r="R384" s="657">
        <v>0</v>
      </c>
      <c r="S384" s="657">
        <v>10011</v>
      </c>
      <c r="T384" s="657">
        <v>10011</v>
      </c>
      <c r="U384" s="657">
        <v>1132</v>
      </c>
      <c r="V384" s="655">
        <v>2021</v>
      </c>
      <c r="W384" s="659"/>
      <c r="X384" s="660">
        <f t="shared" si="17"/>
        <v>8.8436395759717321</v>
      </c>
      <c r="Y384" s="661" t="str">
        <f t="shared" si="15"/>
        <v/>
      </c>
      <c r="Z384" s="661" t="str">
        <f t="shared" si="16"/>
        <v/>
      </c>
    </row>
    <row r="385" spans="1:26" s="128" customFormat="1">
      <c r="A385" s="655">
        <v>6012</v>
      </c>
      <c r="B385" s="656" t="s">
        <v>33</v>
      </c>
      <c r="C385" s="655" t="s">
        <v>2793</v>
      </c>
      <c r="D385" s="656" t="s">
        <v>728</v>
      </c>
      <c r="E385" s="656" t="s">
        <v>2125</v>
      </c>
      <c r="F385" s="655">
        <v>61122</v>
      </c>
      <c r="G385" s="656" t="s">
        <v>81</v>
      </c>
      <c r="H385" s="656" t="s">
        <v>1183</v>
      </c>
      <c r="I385" s="656" t="s">
        <v>58</v>
      </c>
      <c r="J385" s="655">
        <v>22</v>
      </c>
      <c r="K385" s="655">
        <v>2</v>
      </c>
      <c r="L385" s="656" t="s">
        <v>52</v>
      </c>
      <c r="M385" s="656" t="s">
        <v>35</v>
      </c>
      <c r="N385" s="656" t="s">
        <v>36</v>
      </c>
      <c r="O385" s="656" t="s">
        <v>37</v>
      </c>
      <c r="P385" s="656" t="s">
        <v>1176</v>
      </c>
      <c r="Q385" s="657">
        <v>0</v>
      </c>
      <c r="R385" s="657">
        <v>0</v>
      </c>
      <c r="S385" s="657">
        <v>296453</v>
      </c>
      <c r="T385" s="657">
        <v>296453</v>
      </c>
      <c r="U385" s="657">
        <v>33524</v>
      </c>
      <c r="V385" s="655">
        <v>2021</v>
      </c>
      <c r="W385" s="659"/>
      <c r="X385" s="660">
        <f t="shared" si="17"/>
        <v>8.8430079942727602</v>
      </c>
      <c r="Y385" s="661" t="str">
        <f t="shared" si="15"/>
        <v/>
      </c>
      <c r="Z385" s="661" t="str">
        <f t="shared" si="16"/>
        <v/>
      </c>
    </row>
    <row r="386" spans="1:26" s="128" customFormat="1">
      <c r="A386" s="655">
        <v>6047</v>
      </c>
      <c r="B386" s="656" t="s">
        <v>33</v>
      </c>
      <c r="C386" s="655" t="s">
        <v>2793</v>
      </c>
      <c r="D386" s="656" t="s">
        <v>729</v>
      </c>
      <c r="E386" s="656" t="s">
        <v>2125</v>
      </c>
      <c r="F386" s="655">
        <v>61122</v>
      </c>
      <c r="G386" s="656" t="s">
        <v>81</v>
      </c>
      <c r="H386" s="656" t="s">
        <v>1183</v>
      </c>
      <c r="I386" s="656" t="s">
        <v>58</v>
      </c>
      <c r="J386" s="655">
        <v>22</v>
      </c>
      <c r="K386" s="655">
        <v>2</v>
      </c>
      <c r="L386" s="656" t="s">
        <v>52</v>
      </c>
      <c r="M386" s="656" t="s">
        <v>35</v>
      </c>
      <c r="N386" s="656" t="s">
        <v>36</v>
      </c>
      <c r="O386" s="656" t="s">
        <v>37</v>
      </c>
      <c r="P386" s="656" t="s">
        <v>1176</v>
      </c>
      <c r="Q386" s="657">
        <v>0</v>
      </c>
      <c r="R386" s="657">
        <v>0</v>
      </c>
      <c r="S386" s="657">
        <v>332699</v>
      </c>
      <c r="T386" s="657">
        <v>332699</v>
      </c>
      <c r="U386" s="657">
        <v>37623</v>
      </c>
      <c r="V386" s="655">
        <v>2021</v>
      </c>
      <c r="W386" s="659"/>
      <c r="X386" s="660">
        <f t="shared" si="17"/>
        <v>8.8429683969912016</v>
      </c>
      <c r="Y386" s="661" t="str">
        <f t="shared" si="15"/>
        <v/>
      </c>
      <c r="Z386" s="661" t="str">
        <f t="shared" si="16"/>
        <v/>
      </c>
    </row>
    <row r="387" spans="1:26" s="128" customFormat="1" ht="25">
      <c r="A387" s="655">
        <v>6049</v>
      </c>
      <c r="B387" s="656" t="s">
        <v>33</v>
      </c>
      <c r="C387" s="655" t="s">
        <v>2793</v>
      </c>
      <c r="D387" s="656" t="s">
        <v>730</v>
      </c>
      <c r="E387" s="656" t="s">
        <v>3363</v>
      </c>
      <c r="F387" s="655">
        <v>64488</v>
      </c>
      <c r="G387" s="656" t="s">
        <v>81</v>
      </c>
      <c r="H387" s="656" t="s">
        <v>1183</v>
      </c>
      <c r="I387" s="656" t="s">
        <v>58</v>
      </c>
      <c r="J387" s="655">
        <v>22</v>
      </c>
      <c r="K387" s="655">
        <v>2</v>
      </c>
      <c r="L387" s="656" t="s">
        <v>52</v>
      </c>
      <c r="M387" s="656" t="s">
        <v>51</v>
      </c>
      <c r="N387" s="656" t="s">
        <v>46</v>
      </c>
      <c r="O387" s="656" t="s">
        <v>46</v>
      </c>
      <c r="P387" s="656" t="s">
        <v>47</v>
      </c>
      <c r="Q387" s="657">
        <v>1946</v>
      </c>
      <c r="R387" s="657">
        <v>1946</v>
      </c>
      <c r="S387" s="657">
        <v>11238</v>
      </c>
      <c r="T387" s="657">
        <v>11238</v>
      </c>
      <c r="U387" s="657">
        <v>1103</v>
      </c>
      <c r="V387" s="655">
        <v>2021</v>
      </c>
      <c r="W387" s="659"/>
      <c r="X387" s="660">
        <f t="shared" si="17"/>
        <v>10.188576609247507</v>
      </c>
      <c r="Y387" s="661" t="str">
        <f t="shared" si="15"/>
        <v/>
      </c>
      <c r="Z387" s="661" t="str">
        <f t="shared" si="16"/>
        <v/>
      </c>
    </row>
    <row r="388" spans="1:26" s="128" customFormat="1" ht="25">
      <c r="A388" s="655">
        <v>6081</v>
      </c>
      <c r="B388" s="656" t="s">
        <v>33</v>
      </c>
      <c r="C388" s="655" t="s">
        <v>2793</v>
      </c>
      <c r="D388" s="656" t="s">
        <v>371</v>
      </c>
      <c r="E388" s="656" t="s">
        <v>372</v>
      </c>
      <c r="F388" s="655">
        <v>11806</v>
      </c>
      <c r="G388" s="656" t="s">
        <v>81</v>
      </c>
      <c r="H388" s="656" t="s">
        <v>1183</v>
      </c>
      <c r="I388" s="656" t="s">
        <v>58</v>
      </c>
      <c r="J388" s="655">
        <v>22</v>
      </c>
      <c r="K388" s="655">
        <v>1</v>
      </c>
      <c r="L388" s="656" t="s">
        <v>34</v>
      </c>
      <c r="M388" s="656" t="s">
        <v>38</v>
      </c>
      <c r="N388" s="656" t="s">
        <v>46</v>
      </c>
      <c r="O388" s="656" t="s">
        <v>46</v>
      </c>
      <c r="P388" s="656" t="s">
        <v>47</v>
      </c>
      <c r="Q388" s="657">
        <v>0</v>
      </c>
      <c r="R388" s="657">
        <v>0</v>
      </c>
      <c r="S388" s="657">
        <v>0</v>
      </c>
      <c r="T388" s="657">
        <v>0</v>
      </c>
      <c r="U388" s="657">
        <v>444.71600000000001</v>
      </c>
      <c r="V388" s="655">
        <v>2021</v>
      </c>
      <c r="W388" s="659" t="s">
        <v>3675</v>
      </c>
      <c r="X388" s="660" t="str">
        <f t="shared" si="17"/>
        <v/>
      </c>
      <c r="Y388" s="661" t="str">
        <f t="shared" si="15"/>
        <v/>
      </c>
      <c r="Z388" s="661" t="str">
        <f t="shared" si="16"/>
        <v/>
      </c>
    </row>
    <row r="389" spans="1:26" s="128" customFormat="1" ht="25">
      <c r="A389" s="655">
        <v>6081</v>
      </c>
      <c r="B389" s="656" t="s">
        <v>33</v>
      </c>
      <c r="C389" s="655" t="s">
        <v>2793</v>
      </c>
      <c r="D389" s="656" t="s">
        <v>371</v>
      </c>
      <c r="E389" s="656" t="s">
        <v>372</v>
      </c>
      <c r="F389" s="655">
        <v>11806</v>
      </c>
      <c r="G389" s="656" t="s">
        <v>81</v>
      </c>
      <c r="H389" s="656" t="s">
        <v>1183</v>
      </c>
      <c r="I389" s="656" t="s">
        <v>58</v>
      </c>
      <c r="J389" s="655">
        <v>22</v>
      </c>
      <c r="K389" s="655">
        <v>1</v>
      </c>
      <c r="L389" s="656" t="s">
        <v>34</v>
      </c>
      <c r="M389" s="656" t="s">
        <v>38</v>
      </c>
      <c r="N389" s="656" t="s">
        <v>39</v>
      </c>
      <c r="O389" s="656" t="s">
        <v>39</v>
      </c>
      <c r="P389" s="656" t="s">
        <v>1037</v>
      </c>
      <c r="Q389" s="657">
        <v>0</v>
      </c>
      <c r="R389" s="657">
        <v>0</v>
      </c>
      <c r="S389" s="657">
        <v>0</v>
      </c>
      <c r="T389" s="657">
        <v>0</v>
      </c>
      <c r="U389" s="657">
        <v>14933.284</v>
      </c>
      <c r="V389" s="655">
        <v>2021</v>
      </c>
      <c r="W389" s="659" t="s">
        <v>3675</v>
      </c>
      <c r="X389" s="660" t="str">
        <f t="shared" si="17"/>
        <v/>
      </c>
      <c r="Y389" s="661" t="str">
        <f t="shared" si="15"/>
        <v/>
      </c>
      <c r="Z389" s="661" t="str">
        <f t="shared" si="16"/>
        <v/>
      </c>
    </row>
    <row r="390" spans="1:26" s="128" customFormat="1" ht="25">
      <c r="A390" s="655">
        <v>6081</v>
      </c>
      <c r="B390" s="656" t="s">
        <v>33</v>
      </c>
      <c r="C390" s="655" t="s">
        <v>2793</v>
      </c>
      <c r="D390" s="656" t="s">
        <v>371</v>
      </c>
      <c r="E390" s="656" t="s">
        <v>372</v>
      </c>
      <c r="F390" s="655">
        <v>11806</v>
      </c>
      <c r="G390" s="656" t="s">
        <v>81</v>
      </c>
      <c r="H390" s="656" t="s">
        <v>1183</v>
      </c>
      <c r="I390" s="656" t="s">
        <v>58</v>
      </c>
      <c r="J390" s="655">
        <v>22</v>
      </c>
      <c r="K390" s="655">
        <v>1</v>
      </c>
      <c r="L390" s="656" t="s">
        <v>34</v>
      </c>
      <c r="M390" s="656" t="s">
        <v>41</v>
      </c>
      <c r="N390" s="656" t="s">
        <v>46</v>
      </c>
      <c r="O390" s="656" t="s">
        <v>46</v>
      </c>
      <c r="P390" s="656" t="s">
        <v>47</v>
      </c>
      <c r="Q390" s="657">
        <v>2820</v>
      </c>
      <c r="R390" s="657">
        <v>2820</v>
      </c>
      <c r="S390" s="657">
        <v>16272</v>
      </c>
      <c r="T390" s="657">
        <v>16272</v>
      </c>
      <c r="U390" s="657">
        <v>1196.346</v>
      </c>
      <c r="V390" s="655">
        <v>2021</v>
      </c>
      <c r="W390" s="659" t="s">
        <v>3675</v>
      </c>
      <c r="X390" s="660">
        <f t="shared" si="17"/>
        <v>13.601416312672086</v>
      </c>
      <c r="Y390" s="661" t="str">
        <f t="shared" si="15"/>
        <v/>
      </c>
      <c r="Z390" s="661" t="str">
        <f t="shared" si="16"/>
        <v/>
      </c>
    </row>
    <row r="391" spans="1:26" s="128" customFormat="1" ht="25">
      <c r="A391" s="655">
        <v>6081</v>
      </c>
      <c r="B391" s="656" t="s">
        <v>33</v>
      </c>
      <c r="C391" s="655" t="s">
        <v>2793</v>
      </c>
      <c r="D391" s="656" t="s">
        <v>371</v>
      </c>
      <c r="E391" s="656" t="s">
        <v>372</v>
      </c>
      <c r="F391" s="655">
        <v>11806</v>
      </c>
      <c r="G391" s="656" t="s">
        <v>81</v>
      </c>
      <c r="H391" s="656" t="s">
        <v>1183</v>
      </c>
      <c r="I391" s="656" t="s">
        <v>58</v>
      </c>
      <c r="J391" s="655">
        <v>22</v>
      </c>
      <c r="K391" s="655">
        <v>1</v>
      </c>
      <c r="L391" s="656" t="s">
        <v>34</v>
      </c>
      <c r="M391" s="656" t="s">
        <v>41</v>
      </c>
      <c r="N391" s="656" t="s">
        <v>39</v>
      </c>
      <c r="O391" s="656" t="s">
        <v>39</v>
      </c>
      <c r="P391" s="656" t="s">
        <v>1037</v>
      </c>
      <c r="Q391" s="657">
        <v>489800</v>
      </c>
      <c r="R391" s="657">
        <v>489800</v>
      </c>
      <c r="S391" s="657">
        <v>499596</v>
      </c>
      <c r="T391" s="657">
        <v>499596</v>
      </c>
      <c r="U391" s="657">
        <v>36256.654000000002</v>
      </c>
      <c r="V391" s="655">
        <v>2021</v>
      </c>
      <c r="W391" s="659" t="s">
        <v>3675</v>
      </c>
      <c r="X391" s="660">
        <f t="shared" si="17"/>
        <v>13.779429287655722</v>
      </c>
      <c r="Y391" s="661" t="str">
        <f t="shared" ref="Y391:Y454" si="18">IF(AND($M391=$Y$2,$N391=$Y$3,NOT($Q391=$R391),NOT($U391=0)),IF($K391=5,$S391/($U391+(8/5)*$U391),IF($K391=7,$S391/($U391+(29/25)*$U391),"")),"")</f>
        <v/>
      </c>
      <c r="Z391" s="661" t="str">
        <f t="shared" ref="Z391:Z454" si="19">IF(AND($M391=$Y$2,$N391=$Y$4,NOT($Q391=$R391),NOT($U391=0)),IF($K391=5,$S391/($U391+(8/5)*$U391),IF($K391=7,$S391/($U391+(29/25)*$U391),"")),"")</f>
        <v/>
      </c>
    </row>
    <row r="392" spans="1:26" s="128" customFormat="1" ht="25">
      <c r="A392" s="655">
        <v>6081</v>
      </c>
      <c r="B392" s="656" t="s">
        <v>33</v>
      </c>
      <c r="C392" s="655" t="s">
        <v>2793</v>
      </c>
      <c r="D392" s="656" t="s">
        <v>371</v>
      </c>
      <c r="E392" s="656" t="s">
        <v>372</v>
      </c>
      <c r="F392" s="655">
        <v>11806</v>
      </c>
      <c r="G392" s="656" t="s">
        <v>81</v>
      </c>
      <c r="H392" s="656" t="s">
        <v>1183</v>
      </c>
      <c r="I392" s="656" t="s">
        <v>58</v>
      </c>
      <c r="J392" s="655">
        <v>22</v>
      </c>
      <c r="K392" s="655">
        <v>1</v>
      </c>
      <c r="L392" s="656" t="s">
        <v>34</v>
      </c>
      <c r="M392" s="656" t="s">
        <v>50</v>
      </c>
      <c r="N392" s="656" t="s">
        <v>46</v>
      </c>
      <c r="O392" s="656" t="s">
        <v>46</v>
      </c>
      <c r="P392" s="656" t="s">
        <v>47</v>
      </c>
      <c r="Q392" s="657">
        <v>4395</v>
      </c>
      <c r="R392" s="657">
        <v>4395</v>
      </c>
      <c r="S392" s="657">
        <v>25359</v>
      </c>
      <c r="T392" s="657">
        <v>25359</v>
      </c>
      <c r="U392" s="657">
        <v>1903</v>
      </c>
      <c r="V392" s="655">
        <v>2021</v>
      </c>
      <c r="W392" s="659" t="s">
        <v>3675</v>
      </c>
      <c r="X392" s="660">
        <f t="shared" ref="X392:X455" si="20">IF(OR(K392&gt;3,T392=0,NOT(U392&gt;0)),"",T392/U392)</f>
        <v>13.325801366263795</v>
      </c>
      <c r="Y392" s="661" t="str">
        <f t="shared" si="18"/>
        <v/>
      </c>
      <c r="Z392" s="661" t="str">
        <f t="shared" si="19"/>
        <v/>
      </c>
    </row>
    <row r="393" spans="1:26" s="128" customFormat="1" ht="25">
      <c r="A393" s="655">
        <v>6081</v>
      </c>
      <c r="B393" s="656" t="s">
        <v>33</v>
      </c>
      <c r="C393" s="655" t="s">
        <v>2793</v>
      </c>
      <c r="D393" s="656" t="s">
        <v>371</v>
      </c>
      <c r="E393" s="656" t="s">
        <v>372</v>
      </c>
      <c r="F393" s="655">
        <v>11806</v>
      </c>
      <c r="G393" s="656" t="s">
        <v>81</v>
      </c>
      <c r="H393" s="656" t="s">
        <v>1183</v>
      </c>
      <c r="I393" s="656" t="s">
        <v>58</v>
      </c>
      <c r="J393" s="655">
        <v>22</v>
      </c>
      <c r="K393" s="655">
        <v>1</v>
      </c>
      <c r="L393" s="656" t="s">
        <v>34</v>
      </c>
      <c r="M393" s="656" t="s">
        <v>51</v>
      </c>
      <c r="N393" s="656" t="s">
        <v>46</v>
      </c>
      <c r="O393" s="656" t="s">
        <v>46</v>
      </c>
      <c r="P393" s="656" t="s">
        <v>47</v>
      </c>
      <c r="Q393" s="657">
        <v>0</v>
      </c>
      <c r="R393" s="657">
        <v>0</v>
      </c>
      <c r="S393" s="657">
        <v>0</v>
      </c>
      <c r="T393" s="657">
        <v>0</v>
      </c>
      <c r="U393" s="657">
        <v>0</v>
      </c>
      <c r="V393" s="655">
        <v>2021</v>
      </c>
      <c r="W393" s="659"/>
      <c r="X393" s="660" t="str">
        <f t="shared" si="20"/>
        <v/>
      </c>
      <c r="Y393" s="661" t="str">
        <f t="shared" si="18"/>
        <v/>
      </c>
      <c r="Z393" s="661" t="str">
        <f t="shared" si="19"/>
        <v/>
      </c>
    </row>
    <row r="394" spans="1:26" s="128" customFormat="1" ht="25">
      <c r="A394" s="655">
        <v>6081</v>
      </c>
      <c r="B394" s="656" t="s">
        <v>33</v>
      </c>
      <c r="C394" s="655" t="s">
        <v>2793</v>
      </c>
      <c r="D394" s="656" t="s">
        <v>371</v>
      </c>
      <c r="E394" s="656" t="s">
        <v>372</v>
      </c>
      <c r="F394" s="655">
        <v>11806</v>
      </c>
      <c r="G394" s="656" t="s">
        <v>81</v>
      </c>
      <c r="H394" s="656" t="s">
        <v>1183</v>
      </c>
      <c r="I394" s="656" t="s">
        <v>58</v>
      </c>
      <c r="J394" s="655">
        <v>22</v>
      </c>
      <c r="K394" s="655">
        <v>1</v>
      </c>
      <c r="L394" s="656" t="s">
        <v>34</v>
      </c>
      <c r="M394" s="656" t="s">
        <v>448</v>
      </c>
      <c r="N394" s="656" t="s">
        <v>449</v>
      </c>
      <c r="O394" s="656" t="s">
        <v>449</v>
      </c>
      <c r="P394" s="656" t="s">
        <v>1176</v>
      </c>
      <c r="Q394" s="657">
        <v>0</v>
      </c>
      <c r="R394" s="657">
        <v>0</v>
      </c>
      <c r="S394" s="657">
        <v>0</v>
      </c>
      <c r="T394" s="657">
        <v>0</v>
      </c>
      <c r="U394" s="657">
        <v>0</v>
      </c>
      <c r="V394" s="655">
        <v>2021</v>
      </c>
      <c r="W394" s="659"/>
      <c r="X394" s="660" t="str">
        <f t="shared" si="20"/>
        <v/>
      </c>
      <c r="Y394" s="661" t="str">
        <f t="shared" si="18"/>
        <v/>
      </c>
      <c r="Z394" s="661" t="str">
        <f t="shared" si="19"/>
        <v/>
      </c>
    </row>
    <row r="395" spans="1:26" s="128" customFormat="1">
      <c r="A395" s="655">
        <v>6083</v>
      </c>
      <c r="B395" s="656" t="s">
        <v>33</v>
      </c>
      <c r="C395" s="655" t="s">
        <v>2793</v>
      </c>
      <c r="D395" s="656" t="s">
        <v>731</v>
      </c>
      <c r="E395" s="656" t="s">
        <v>2125</v>
      </c>
      <c r="F395" s="655">
        <v>61122</v>
      </c>
      <c r="G395" s="656" t="s">
        <v>81</v>
      </c>
      <c r="H395" s="656" t="s">
        <v>1183</v>
      </c>
      <c r="I395" s="656" t="s">
        <v>58</v>
      </c>
      <c r="J395" s="655">
        <v>22</v>
      </c>
      <c r="K395" s="655">
        <v>2</v>
      </c>
      <c r="L395" s="656" t="s">
        <v>52</v>
      </c>
      <c r="M395" s="656" t="s">
        <v>35</v>
      </c>
      <c r="N395" s="656" t="s">
        <v>36</v>
      </c>
      <c r="O395" s="656" t="s">
        <v>37</v>
      </c>
      <c r="P395" s="656" t="s">
        <v>1176</v>
      </c>
      <c r="Q395" s="657">
        <v>0</v>
      </c>
      <c r="R395" s="657">
        <v>0</v>
      </c>
      <c r="S395" s="657">
        <v>295505</v>
      </c>
      <c r="T395" s="657">
        <v>295505</v>
      </c>
      <c r="U395" s="657">
        <v>33417</v>
      </c>
      <c r="V395" s="655">
        <v>2021</v>
      </c>
      <c r="W395" s="659"/>
      <c r="X395" s="660">
        <f t="shared" si="20"/>
        <v>8.8429541849956603</v>
      </c>
      <c r="Y395" s="661" t="str">
        <f t="shared" si="18"/>
        <v/>
      </c>
      <c r="Z395" s="661" t="str">
        <f t="shared" si="19"/>
        <v/>
      </c>
    </row>
    <row r="396" spans="1:26" s="128" customFormat="1" hidden="1">
      <c r="A396" s="655">
        <v>6110</v>
      </c>
      <c r="B396" s="656" t="s">
        <v>33</v>
      </c>
      <c r="C396" s="655">
        <v>1</v>
      </c>
      <c r="D396" s="656" t="s">
        <v>373</v>
      </c>
      <c r="E396" s="656" t="s">
        <v>1826</v>
      </c>
      <c r="F396" s="655">
        <v>55951</v>
      </c>
      <c r="G396" s="656" t="s">
        <v>57</v>
      </c>
      <c r="H396" s="656" t="s">
        <v>1182</v>
      </c>
      <c r="I396" s="656" t="s">
        <v>58</v>
      </c>
      <c r="J396" s="655">
        <v>22</v>
      </c>
      <c r="K396" s="655">
        <v>2</v>
      </c>
      <c r="L396" s="656" t="s">
        <v>52</v>
      </c>
      <c r="M396" s="656" t="s">
        <v>42</v>
      </c>
      <c r="N396" s="656" t="s">
        <v>53</v>
      </c>
      <c r="O396" s="656" t="s">
        <v>53</v>
      </c>
      <c r="P396" s="656" t="s">
        <v>1176</v>
      </c>
      <c r="Q396" s="657">
        <v>0</v>
      </c>
      <c r="R396" s="657">
        <v>0</v>
      </c>
      <c r="S396" s="657">
        <v>0</v>
      </c>
      <c r="T396" s="657">
        <v>0</v>
      </c>
      <c r="U396" s="657">
        <v>7416063</v>
      </c>
      <c r="V396" s="655">
        <v>2021</v>
      </c>
      <c r="W396" s="659"/>
      <c r="X396" s="660" t="str">
        <f t="shared" si="20"/>
        <v/>
      </c>
      <c r="Y396" s="661" t="str">
        <f t="shared" si="18"/>
        <v/>
      </c>
      <c r="Z396" s="661" t="str">
        <f t="shared" si="19"/>
        <v/>
      </c>
    </row>
    <row r="397" spans="1:26" s="128" customFormat="1" ht="25" hidden="1">
      <c r="A397" s="655">
        <v>6115</v>
      </c>
      <c r="B397" s="656" t="s">
        <v>33</v>
      </c>
      <c r="C397" s="655">
        <v>1</v>
      </c>
      <c r="D397" s="656" t="s">
        <v>374</v>
      </c>
      <c r="E397" s="656" t="s">
        <v>732</v>
      </c>
      <c r="F397" s="655">
        <v>6854</v>
      </c>
      <c r="G397" s="656" t="s">
        <v>96</v>
      </c>
      <c r="H397" s="656" t="s">
        <v>1183</v>
      </c>
      <c r="I397" s="656" t="s">
        <v>58</v>
      </c>
      <c r="J397" s="655">
        <v>22</v>
      </c>
      <c r="K397" s="655">
        <v>2</v>
      </c>
      <c r="L397" s="656" t="s">
        <v>52</v>
      </c>
      <c r="M397" s="656" t="s">
        <v>42</v>
      </c>
      <c r="N397" s="656" t="s">
        <v>53</v>
      </c>
      <c r="O397" s="656" t="s">
        <v>53</v>
      </c>
      <c r="P397" s="656" t="s">
        <v>1176</v>
      </c>
      <c r="Q397" s="657">
        <v>0</v>
      </c>
      <c r="R397" s="657">
        <v>0</v>
      </c>
      <c r="S397" s="657">
        <v>0</v>
      </c>
      <c r="T397" s="657">
        <v>0</v>
      </c>
      <c r="U397" s="657">
        <v>9856117</v>
      </c>
      <c r="V397" s="655">
        <v>2021</v>
      </c>
      <c r="W397" s="659"/>
      <c r="X397" s="660" t="str">
        <f t="shared" si="20"/>
        <v/>
      </c>
      <c r="Y397" s="661" t="str">
        <f t="shared" si="18"/>
        <v/>
      </c>
      <c r="Z397" s="661" t="str">
        <f t="shared" si="19"/>
        <v/>
      </c>
    </row>
    <row r="398" spans="1:26" s="128" customFormat="1">
      <c r="A398" s="655">
        <v>6119</v>
      </c>
      <c r="B398" s="656" t="s">
        <v>33</v>
      </c>
      <c r="C398" s="655" t="s">
        <v>2793</v>
      </c>
      <c r="D398" s="656" t="s">
        <v>733</v>
      </c>
      <c r="E398" s="656" t="s">
        <v>2125</v>
      </c>
      <c r="F398" s="655">
        <v>61122</v>
      </c>
      <c r="G398" s="656" t="s">
        <v>81</v>
      </c>
      <c r="H398" s="656" t="s">
        <v>1183</v>
      </c>
      <c r="I398" s="656" t="s">
        <v>58</v>
      </c>
      <c r="J398" s="655">
        <v>22</v>
      </c>
      <c r="K398" s="655">
        <v>2</v>
      </c>
      <c r="L398" s="656" t="s">
        <v>52</v>
      </c>
      <c r="M398" s="656" t="s">
        <v>35</v>
      </c>
      <c r="N398" s="656" t="s">
        <v>36</v>
      </c>
      <c r="O398" s="656" t="s">
        <v>37</v>
      </c>
      <c r="P398" s="656" t="s">
        <v>1176</v>
      </c>
      <c r="Q398" s="657">
        <v>0</v>
      </c>
      <c r="R398" s="657">
        <v>0</v>
      </c>
      <c r="S398" s="657">
        <v>254653</v>
      </c>
      <c r="T398" s="657">
        <v>254653</v>
      </c>
      <c r="U398" s="657">
        <v>28797</v>
      </c>
      <c r="V398" s="655">
        <v>2021</v>
      </c>
      <c r="W398" s="659"/>
      <c r="X398" s="660">
        <f t="shared" si="20"/>
        <v>8.8430392054727918</v>
      </c>
      <c r="Y398" s="661" t="str">
        <f t="shared" si="18"/>
        <v/>
      </c>
      <c r="Z398" s="661" t="str">
        <f t="shared" si="19"/>
        <v/>
      </c>
    </row>
    <row r="399" spans="1:26" s="128" customFormat="1" ht="25" hidden="1">
      <c r="A399" s="655">
        <v>6122</v>
      </c>
      <c r="B399" s="656" t="s">
        <v>33</v>
      </c>
      <c r="C399" s="655">
        <v>1</v>
      </c>
      <c r="D399" s="656" t="s">
        <v>1045</v>
      </c>
      <c r="E399" s="656" t="s">
        <v>1826</v>
      </c>
      <c r="F399" s="655">
        <v>55951</v>
      </c>
      <c r="G399" s="656" t="s">
        <v>57</v>
      </c>
      <c r="H399" s="656" t="s">
        <v>1182</v>
      </c>
      <c r="I399" s="656" t="s">
        <v>58</v>
      </c>
      <c r="J399" s="655">
        <v>22</v>
      </c>
      <c r="K399" s="655">
        <v>2</v>
      </c>
      <c r="L399" s="656" t="s">
        <v>52</v>
      </c>
      <c r="M399" s="656" t="s">
        <v>42</v>
      </c>
      <c r="N399" s="656" t="s">
        <v>53</v>
      </c>
      <c r="O399" s="656" t="s">
        <v>53</v>
      </c>
      <c r="P399" s="656" t="s">
        <v>1176</v>
      </c>
      <c r="Q399" s="657">
        <v>0</v>
      </c>
      <c r="R399" s="657">
        <v>0</v>
      </c>
      <c r="S399" s="657">
        <v>0</v>
      </c>
      <c r="T399" s="657">
        <v>0</v>
      </c>
      <c r="U399" s="657">
        <v>4732727</v>
      </c>
      <c r="V399" s="655">
        <v>2021</v>
      </c>
      <c r="W399" s="659"/>
      <c r="X399" s="660" t="str">
        <f t="shared" si="20"/>
        <v/>
      </c>
      <c r="Y399" s="661" t="str">
        <f t="shared" si="18"/>
        <v/>
      </c>
      <c r="Z399" s="661" t="str">
        <f t="shared" si="19"/>
        <v/>
      </c>
    </row>
    <row r="400" spans="1:26" s="128" customFormat="1">
      <c r="A400" s="655">
        <v>6125</v>
      </c>
      <c r="B400" s="656" t="s">
        <v>33</v>
      </c>
      <c r="C400" s="655" t="s">
        <v>2793</v>
      </c>
      <c r="D400" s="656" t="s">
        <v>734</v>
      </c>
      <c r="E400" s="656" t="s">
        <v>1162</v>
      </c>
      <c r="F400" s="655">
        <v>17127</v>
      </c>
      <c r="G400" s="656" t="s">
        <v>81</v>
      </c>
      <c r="H400" s="656" t="s">
        <v>1183</v>
      </c>
      <c r="I400" s="656" t="s">
        <v>58</v>
      </c>
      <c r="J400" s="655">
        <v>22</v>
      </c>
      <c r="K400" s="655">
        <v>1</v>
      </c>
      <c r="L400" s="656" t="s">
        <v>34</v>
      </c>
      <c r="M400" s="656" t="s">
        <v>51</v>
      </c>
      <c r="N400" s="656" t="s">
        <v>46</v>
      </c>
      <c r="O400" s="656" t="s">
        <v>46</v>
      </c>
      <c r="P400" s="656" t="s">
        <v>47</v>
      </c>
      <c r="Q400" s="657">
        <v>193</v>
      </c>
      <c r="R400" s="657">
        <v>193</v>
      </c>
      <c r="S400" s="657">
        <v>1134</v>
      </c>
      <c r="T400" s="657">
        <v>1134</v>
      </c>
      <c r="U400" s="657">
        <v>-135</v>
      </c>
      <c r="V400" s="655">
        <v>2021</v>
      </c>
      <c r="W400" s="659"/>
      <c r="X400" s="660" t="str">
        <f t="shared" si="20"/>
        <v/>
      </c>
      <c r="Y400" s="661" t="str">
        <f t="shared" si="18"/>
        <v/>
      </c>
      <c r="Z400" s="661" t="str">
        <f t="shared" si="19"/>
        <v/>
      </c>
    </row>
    <row r="401" spans="1:26" s="128" customFormat="1">
      <c r="A401" s="655">
        <v>6125</v>
      </c>
      <c r="B401" s="656" t="s">
        <v>33</v>
      </c>
      <c r="C401" s="655" t="s">
        <v>2793</v>
      </c>
      <c r="D401" s="656" t="s">
        <v>734</v>
      </c>
      <c r="E401" s="656" t="s">
        <v>1162</v>
      </c>
      <c r="F401" s="655">
        <v>17127</v>
      </c>
      <c r="G401" s="656" t="s">
        <v>81</v>
      </c>
      <c r="H401" s="656" t="s">
        <v>1183</v>
      </c>
      <c r="I401" s="656" t="s">
        <v>58</v>
      </c>
      <c r="J401" s="655">
        <v>22</v>
      </c>
      <c r="K401" s="655">
        <v>1</v>
      </c>
      <c r="L401" s="656" t="s">
        <v>34</v>
      </c>
      <c r="M401" s="656" t="s">
        <v>51</v>
      </c>
      <c r="N401" s="656" t="s">
        <v>39</v>
      </c>
      <c r="O401" s="656" t="s">
        <v>39</v>
      </c>
      <c r="P401" s="656" t="s">
        <v>1037</v>
      </c>
      <c r="Q401" s="657">
        <v>0</v>
      </c>
      <c r="R401" s="657">
        <v>0</v>
      </c>
      <c r="S401" s="657">
        <v>0</v>
      </c>
      <c r="T401" s="657">
        <v>0</v>
      </c>
      <c r="U401" s="657">
        <v>0</v>
      </c>
      <c r="V401" s="655">
        <v>2021</v>
      </c>
      <c r="W401" s="659"/>
      <c r="X401" s="660" t="str">
        <f t="shared" si="20"/>
        <v/>
      </c>
      <c r="Y401" s="661" t="str">
        <f t="shared" si="18"/>
        <v/>
      </c>
      <c r="Z401" s="661" t="str">
        <f t="shared" si="19"/>
        <v/>
      </c>
    </row>
    <row r="402" spans="1:26" s="128" customFormat="1" ht="25" hidden="1">
      <c r="A402" s="655">
        <v>6156</v>
      </c>
      <c r="B402" s="656" t="s">
        <v>33</v>
      </c>
      <c r="C402" s="655" t="s">
        <v>2793</v>
      </c>
      <c r="D402" s="656" t="s">
        <v>375</v>
      </c>
      <c r="E402" s="656" t="s">
        <v>87</v>
      </c>
      <c r="F402" s="655">
        <v>15452</v>
      </c>
      <c r="G402" s="656" t="s">
        <v>41</v>
      </c>
      <c r="H402" s="656" t="s">
        <v>1183</v>
      </c>
      <c r="I402" s="656" t="s">
        <v>58</v>
      </c>
      <c r="J402" s="655">
        <v>22</v>
      </c>
      <c r="K402" s="655">
        <v>2</v>
      </c>
      <c r="L402" s="656" t="s">
        <v>52</v>
      </c>
      <c r="M402" s="656" t="s">
        <v>50</v>
      </c>
      <c r="N402" s="656" t="s">
        <v>76</v>
      </c>
      <c r="O402" s="656" t="s">
        <v>67</v>
      </c>
      <c r="P402" s="656" t="s">
        <v>47</v>
      </c>
      <c r="Q402" s="657">
        <v>6447</v>
      </c>
      <c r="R402" s="657">
        <v>6447</v>
      </c>
      <c r="S402" s="657">
        <v>36567</v>
      </c>
      <c r="T402" s="657">
        <v>36567</v>
      </c>
      <c r="U402" s="657">
        <v>803.64800000000002</v>
      </c>
      <c r="V402" s="655">
        <v>2021</v>
      </c>
      <c r="W402" s="659" t="s">
        <v>3675</v>
      </c>
      <c r="X402" s="660">
        <f t="shared" si="20"/>
        <v>45.501264235087994</v>
      </c>
      <c r="Y402" s="661" t="str">
        <f t="shared" si="18"/>
        <v/>
      </c>
      <c r="Z402" s="661" t="str">
        <f t="shared" si="19"/>
        <v/>
      </c>
    </row>
    <row r="403" spans="1:26" s="128" customFormat="1" ht="25" hidden="1">
      <c r="A403" s="655">
        <v>6156</v>
      </c>
      <c r="B403" s="656" t="s">
        <v>33</v>
      </c>
      <c r="C403" s="655" t="s">
        <v>2793</v>
      </c>
      <c r="D403" s="656" t="s">
        <v>375</v>
      </c>
      <c r="E403" s="656" t="s">
        <v>87</v>
      </c>
      <c r="F403" s="655">
        <v>15452</v>
      </c>
      <c r="G403" s="656" t="s">
        <v>41</v>
      </c>
      <c r="H403" s="656" t="s">
        <v>1183</v>
      </c>
      <c r="I403" s="656" t="s">
        <v>58</v>
      </c>
      <c r="J403" s="655">
        <v>22</v>
      </c>
      <c r="K403" s="655">
        <v>2</v>
      </c>
      <c r="L403" s="656" t="s">
        <v>52</v>
      </c>
      <c r="M403" s="656" t="s">
        <v>50</v>
      </c>
      <c r="N403" s="656" t="s">
        <v>39</v>
      </c>
      <c r="O403" s="656" t="s">
        <v>39</v>
      </c>
      <c r="P403" s="656" t="s">
        <v>1037</v>
      </c>
      <c r="Q403" s="657">
        <v>0</v>
      </c>
      <c r="R403" s="657">
        <v>0</v>
      </c>
      <c r="S403" s="657">
        <v>0</v>
      </c>
      <c r="T403" s="657">
        <v>0</v>
      </c>
      <c r="U403" s="657">
        <v>-28.648</v>
      </c>
      <c r="V403" s="655">
        <v>2021</v>
      </c>
      <c r="W403" s="659" t="s">
        <v>3675</v>
      </c>
      <c r="X403" s="660" t="str">
        <f t="shared" si="20"/>
        <v/>
      </c>
      <c r="Y403" s="661" t="str">
        <f t="shared" si="18"/>
        <v/>
      </c>
      <c r="Z403" s="661" t="str">
        <f t="shared" si="19"/>
        <v/>
      </c>
    </row>
    <row r="404" spans="1:26" s="128" customFormat="1" ht="25" hidden="1">
      <c r="A404" s="655">
        <v>6156</v>
      </c>
      <c r="B404" s="656" t="s">
        <v>33</v>
      </c>
      <c r="C404" s="655" t="s">
        <v>2793</v>
      </c>
      <c r="D404" s="656" t="s">
        <v>375</v>
      </c>
      <c r="E404" s="656" t="s">
        <v>87</v>
      </c>
      <c r="F404" s="655">
        <v>15452</v>
      </c>
      <c r="G404" s="656" t="s">
        <v>41</v>
      </c>
      <c r="H404" s="656" t="s">
        <v>1183</v>
      </c>
      <c r="I404" s="656" t="s">
        <v>58</v>
      </c>
      <c r="J404" s="655">
        <v>22</v>
      </c>
      <c r="K404" s="655">
        <v>2</v>
      </c>
      <c r="L404" s="656" t="s">
        <v>52</v>
      </c>
      <c r="M404" s="656" t="s">
        <v>42</v>
      </c>
      <c r="N404" s="656" t="s">
        <v>46</v>
      </c>
      <c r="O404" s="656" t="s">
        <v>46</v>
      </c>
      <c r="P404" s="656" t="s">
        <v>47</v>
      </c>
      <c r="Q404" s="657">
        <v>5327</v>
      </c>
      <c r="R404" s="657">
        <v>5327</v>
      </c>
      <c r="S404" s="657">
        <v>31098</v>
      </c>
      <c r="T404" s="657">
        <v>31098</v>
      </c>
      <c r="U404" s="657">
        <v>-10075.950000000001</v>
      </c>
      <c r="V404" s="655">
        <v>2021</v>
      </c>
      <c r="W404" s="659" t="s">
        <v>3675</v>
      </c>
      <c r="X404" s="660" t="str">
        <f t="shared" si="20"/>
        <v/>
      </c>
      <c r="Y404" s="661" t="str">
        <f t="shared" si="18"/>
        <v/>
      </c>
      <c r="Z404" s="661" t="str">
        <f t="shared" si="19"/>
        <v/>
      </c>
    </row>
    <row r="405" spans="1:26" s="128" customFormat="1" ht="25" hidden="1">
      <c r="A405" s="655">
        <v>6156</v>
      </c>
      <c r="B405" s="656" t="s">
        <v>33</v>
      </c>
      <c r="C405" s="655" t="s">
        <v>2793</v>
      </c>
      <c r="D405" s="656" t="s">
        <v>375</v>
      </c>
      <c r="E405" s="656" t="s">
        <v>87</v>
      </c>
      <c r="F405" s="655">
        <v>15452</v>
      </c>
      <c r="G405" s="656" t="s">
        <v>41</v>
      </c>
      <c r="H405" s="656" t="s">
        <v>1183</v>
      </c>
      <c r="I405" s="656" t="s">
        <v>58</v>
      </c>
      <c r="J405" s="655">
        <v>22</v>
      </c>
      <c r="K405" s="655">
        <v>2</v>
      </c>
      <c r="L405" s="656" t="s">
        <v>52</v>
      </c>
      <c r="M405" s="656" t="s">
        <v>42</v>
      </c>
      <c r="N405" s="656" t="s">
        <v>39</v>
      </c>
      <c r="O405" s="656" t="s">
        <v>39</v>
      </c>
      <c r="P405" s="656" t="s">
        <v>1037</v>
      </c>
      <c r="Q405" s="657">
        <v>324604</v>
      </c>
      <c r="R405" s="657">
        <v>324604</v>
      </c>
      <c r="S405" s="657">
        <v>334342</v>
      </c>
      <c r="T405" s="657">
        <v>334342</v>
      </c>
      <c r="U405" s="657">
        <v>15647.672</v>
      </c>
      <c r="V405" s="655">
        <v>2021</v>
      </c>
      <c r="W405" s="659" t="s">
        <v>3675</v>
      </c>
      <c r="X405" s="660">
        <f t="shared" si="20"/>
        <v>21.366884479684902</v>
      </c>
      <c r="Y405" s="661" t="str">
        <f t="shared" si="18"/>
        <v/>
      </c>
      <c r="Z405" s="661" t="str">
        <f t="shared" si="19"/>
        <v/>
      </c>
    </row>
    <row r="406" spans="1:26" s="128" customFormat="1" ht="25" hidden="1">
      <c r="A406" s="655">
        <v>6156</v>
      </c>
      <c r="B406" s="656" t="s">
        <v>33</v>
      </c>
      <c r="C406" s="655" t="s">
        <v>2793</v>
      </c>
      <c r="D406" s="656" t="s">
        <v>375</v>
      </c>
      <c r="E406" s="656" t="s">
        <v>87</v>
      </c>
      <c r="F406" s="655">
        <v>15452</v>
      </c>
      <c r="G406" s="656" t="s">
        <v>41</v>
      </c>
      <c r="H406" s="656" t="s">
        <v>1183</v>
      </c>
      <c r="I406" s="656" t="s">
        <v>58</v>
      </c>
      <c r="J406" s="655">
        <v>22</v>
      </c>
      <c r="K406" s="655">
        <v>2</v>
      </c>
      <c r="L406" s="656" t="s">
        <v>52</v>
      </c>
      <c r="M406" s="656" t="s">
        <v>42</v>
      </c>
      <c r="N406" s="656" t="s">
        <v>61</v>
      </c>
      <c r="O406" s="656" t="s">
        <v>61</v>
      </c>
      <c r="P406" s="656" t="s">
        <v>47</v>
      </c>
      <c r="Q406" s="657">
        <v>10173</v>
      </c>
      <c r="R406" s="657">
        <v>10173</v>
      </c>
      <c r="S406" s="657">
        <v>64090</v>
      </c>
      <c r="T406" s="657">
        <v>64090</v>
      </c>
      <c r="U406" s="657">
        <v>3159.2730000000001</v>
      </c>
      <c r="V406" s="655">
        <v>2021</v>
      </c>
      <c r="W406" s="659" t="s">
        <v>3675</v>
      </c>
      <c r="X406" s="660">
        <f t="shared" si="20"/>
        <v>20.286312705486356</v>
      </c>
      <c r="Y406" s="661" t="str">
        <f t="shared" si="18"/>
        <v/>
      </c>
      <c r="Z406" s="661" t="str">
        <f t="shared" si="19"/>
        <v/>
      </c>
    </row>
    <row r="407" spans="1:26" s="128" customFormat="1" ht="25">
      <c r="A407" s="655">
        <v>6378</v>
      </c>
      <c r="B407" s="656" t="s">
        <v>33</v>
      </c>
      <c r="C407" s="655" t="s">
        <v>2793</v>
      </c>
      <c r="D407" s="656" t="s">
        <v>735</v>
      </c>
      <c r="E407" s="656" t="s">
        <v>2312</v>
      </c>
      <c r="F407" s="655">
        <v>61350</v>
      </c>
      <c r="G407" s="656" t="s">
        <v>81</v>
      </c>
      <c r="H407" s="656" t="s">
        <v>1183</v>
      </c>
      <c r="I407" s="656" t="s">
        <v>58</v>
      </c>
      <c r="J407" s="655">
        <v>22</v>
      </c>
      <c r="K407" s="655">
        <v>2</v>
      </c>
      <c r="L407" s="656" t="s">
        <v>52</v>
      </c>
      <c r="M407" s="656" t="s">
        <v>35</v>
      </c>
      <c r="N407" s="656" t="s">
        <v>36</v>
      </c>
      <c r="O407" s="656" t="s">
        <v>37</v>
      </c>
      <c r="P407" s="656" t="s">
        <v>1176</v>
      </c>
      <c r="Q407" s="657">
        <v>0</v>
      </c>
      <c r="R407" s="657">
        <v>0</v>
      </c>
      <c r="S407" s="657">
        <v>79444</v>
      </c>
      <c r="T407" s="657">
        <v>79444</v>
      </c>
      <c r="U407" s="657">
        <v>8984</v>
      </c>
      <c r="V407" s="655">
        <v>2021</v>
      </c>
      <c r="W407" s="659"/>
      <c r="X407" s="660">
        <f t="shared" si="20"/>
        <v>8.8428317008014243</v>
      </c>
      <c r="Y407" s="661" t="str">
        <f t="shared" si="18"/>
        <v/>
      </c>
      <c r="Z407" s="661" t="str">
        <f t="shared" si="19"/>
        <v/>
      </c>
    </row>
    <row r="408" spans="1:26" s="128" customFormat="1" ht="25">
      <c r="A408" s="655">
        <v>6379</v>
      </c>
      <c r="B408" s="656" t="s">
        <v>33</v>
      </c>
      <c r="C408" s="655" t="s">
        <v>2793</v>
      </c>
      <c r="D408" s="656" t="s">
        <v>736</v>
      </c>
      <c r="E408" s="656" t="s">
        <v>2312</v>
      </c>
      <c r="F408" s="655">
        <v>61350</v>
      </c>
      <c r="G408" s="656" t="s">
        <v>81</v>
      </c>
      <c r="H408" s="656" t="s">
        <v>1183</v>
      </c>
      <c r="I408" s="656" t="s">
        <v>58</v>
      </c>
      <c r="J408" s="655">
        <v>22</v>
      </c>
      <c r="K408" s="655">
        <v>2</v>
      </c>
      <c r="L408" s="656" t="s">
        <v>52</v>
      </c>
      <c r="M408" s="656" t="s">
        <v>35</v>
      </c>
      <c r="N408" s="656" t="s">
        <v>36</v>
      </c>
      <c r="O408" s="656" t="s">
        <v>37</v>
      </c>
      <c r="P408" s="656" t="s">
        <v>1176</v>
      </c>
      <c r="Q408" s="657">
        <v>0</v>
      </c>
      <c r="R408" s="657">
        <v>0</v>
      </c>
      <c r="S408" s="657">
        <v>72176</v>
      </c>
      <c r="T408" s="657">
        <v>72176</v>
      </c>
      <c r="U408" s="657">
        <v>8162</v>
      </c>
      <c r="V408" s="655">
        <v>2021</v>
      </c>
      <c r="W408" s="659"/>
      <c r="X408" s="660">
        <f t="shared" si="20"/>
        <v>8.8429306542514095</v>
      </c>
      <c r="Y408" s="661" t="str">
        <f t="shared" si="18"/>
        <v/>
      </c>
      <c r="Z408" s="661" t="str">
        <f t="shared" si="19"/>
        <v/>
      </c>
    </row>
    <row r="409" spans="1:26" s="128" customFormat="1" ht="25">
      <c r="A409" s="655">
        <v>6388</v>
      </c>
      <c r="B409" s="656" t="s">
        <v>33</v>
      </c>
      <c r="C409" s="655" t="s">
        <v>2793</v>
      </c>
      <c r="D409" s="656" t="s">
        <v>737</v>
      </c>
      <c r="E409" s="656" t="s">
        <v>1184</v>
      </c>
      <c r="F409" s="655">
        <v>58185</v>
      </c>
      <c r="G409" s="656" t="s">
        <v>81</v>
      </c>
      <c r="H409" s="656" t="s">
        <v>1183</v>
      </c>
      <c r="I409" s="656" t="s">
        <v>58</v>
      </c>
      <c r="J409" s="655">
        <v>22</v>
      </c>
      <c r="K409" s="655">
        <v>2</v>
      </c>
      <c r="L409" s="656" t="s">
        <v>52</v>
      </c>
      <c r="M409" s="656" t="s">
        <v>35</v>
      </c>
      <c r="N409" s="656" t="s">
        <v>36</v>
      </c>
      <c r="O409" s="656" t="s">
        <v>37</v>
      </c>
      <c r="P409" s="656" t="s">
        <v>1176</v>
      </c>
      <c r="Q409" s="657">
        <v>0</v>
      </c>
      <c r="R409" s="657">
        <v>0</v>
      </c>
      <c r="S409" s="657">
        <v>121459</v>
      </c>
      <c r="T409" s="657">
        <v>121459</v>
      </c>
      <c r="U409" s="657">
        <v>13735</v>
      </c>
      <c r="V409" s="655">
        <v>2021</v>
      </c>
      <c r="W409" s="659"/>
      <c r="X409" s="660">
        <f t="shared" si="20"/>
        <v>8.8430287586457954</v>
      </c>
      <c r="Y409" s="661" t="str">
        <f t="shared" si="18"/>
        <v/>
      </c>
      <c r="Z409" s="661" t="str">
        <f t="shared" si="19"/>
        <v/>
      </c>
    </row>
    <row r="410" spans="1:26" s="128" customFormat="1" ht="25" hidden="1">
      <c r="A410" s="655">
        <v>6450</v>
      </c>
      <c r="B410" s="656" t="s">
        <v>33</v>
      </c>
      <c r="C410" s="655" t="s">
        <v>2793</v>
      </c>
      <c r="D410" s="656" t="s">
        <v>738</v>
      </c>
      <c r="E410" s="656" t="s">
        <v>132</v>
      </c>
      <c r="F410" s="655">
        <v>7601</v>
      </c>
      <c r="G410" s="656" t="s">
        <v>89</v>
      </c>
      <c r="H410" s="656" t="s">
        <v>1183</v>
      </c>
      <c r="I410" s="656" t="s">
        <v>58</v>
      </c>
      <c r="J410" s="655">
        <v>22</v>
      </c>
      <c r="K410" s="655">
        <v>1</v>
      </c>
      <c r="L410" s="656" t="s">
        <v>34</v>
      </c>
      <c r="M410" s="656" t="s">
        <v>35</v>
      </c>
      <c r="N410" s="656" t="s">
        <v>36</v>
      </c>
      <c r="O410" s="656" t="s">
        <v>37</v>
      </c>
      <c r="P410" s="656" t="s">
        <v>1176</v>
      </c>
      <c r="Q410" s="657">
        <v>0</v>
      </c>
      <c r="R410" s="657">
        <v>0</v>
      </c>
      <c r="S410" s="657">
        <v>296948</v>
      </c>
      <c r="T410" s="657">
        <v>296948</v>
      </c>
      <c r="U410" s="657">
        <v>33580</v>
      </c>
      <c r="V410" s="655">
        <v>2021</v>
      </c>
      <c r="W410" s="659"/>
      <c r="X410" s="660">
        <f t="shared" si="20"/>
        <v>8.8430017867778439</v>
      </c>
      <c r="Y410" s="661" t="str">
        <f t="shared" si="18"/>
        <v/>
      </c>
      <c r="Z410" s="661" t="str">
        <f t="shared" si="19"/>
        <v/>
      </c>
    </row>
    <row r="411" spans="1:26" s="128" customFormat="1" ht="25" hidden="1">
      <c r="A411" s="655">
        <v>6451</v>
      </c>
      <c r="B411" s="656" t="s">
        <v>33</v>
      </c>
      <c r="C411" s="655" t="s">
        <v>2793</v>
      </c>
      <c r="D411" s="656" t="s">
        <v>739</v>
      </c>
      <c r="E411" s="656" t="s">
        <v>132</v>
      </c>
      <c r="F411" s="655">
        <v>7601</v>
      </c>
      <c r="G411" s="656" t="s">
        <v>89</v>
      </c>
      <c r="H411" s="656" t="s">
        <v>1183</v>
      </c>
      <c r="I411" s="656" t="s">
        <v>58</v>
      </c>
      <c r="J411" s="655">
        <v>22</v>
      </c>
      <c r="K411" s="655">
        <v>1</v>
      </c>
      <c r="L411" s="656" t="s">
        <v>34</v>
      </c>
      <c r="M411" s="656" t="s">
        <v>35</v>
      </c>
      <c r="N411" s="656" t="s">
        <v>36</v>
      </c>
      <c r="O411" s="656" t="s">
        <v>37</v>
      </c>
      <c r="P411" s="656" t="s">
        <v>1176</v>
      </c>
      <c r="Q411" s="657">
        <v>0</v>
      </c>
      <c r="R411" s="657">
        <v>0</v>
      </c>
      <c r="S411" s="657">
        <v>77147</v>
      </c>
      <c r="T411" s="657">
        <v>77147</v>
      </c>
      <c r="U411" s="657">
        <v>8724</v>
      </c>
      <c r="V411" s="655">
        <v>2021</v>
      </c>
      <c r="W411" s="659"/>
      <c r="X411" s="660">
        <f t="shared" si="20"/>
        <v>8.8430765703805587</v>
      </c>
      <c r="Y411" s="661" t="str">
        <f t="shared" si="18"/>
        <v/>
      </c>
      <c r="Z411" s="661" t="str">
        <f t="shared" si="19"/>
        <v/>
      </c>
    </row>
    <row r="412" spans="1:26" s="128" customFormat="1" ht="25" hidden="1">
      <c r="A412" s="655">
        <v>6456</v>
      </c>
      <c r="B412" s="656" t="s">
        <v>33</v>
      </c>
      <c r="C412" s="655" t="s">
        <v>2793</v>
      </c>
      <c r="D412" s="656" t="s">
        <v>740</v>
      </c>
      <c r="E412" s="656" t="s">
        <v>132</v>
      </c>
      <c r="F412" s="655">
        <v>7601</v>
      </c>
      <c r="G412" s="656" t="s">
        <v>57</v>
      </c>
      <c r="H412" s="656" t="s">
        <v>1182</v>
      </c>
      <c r="I412" s="656" t="s">
        <v>58</v>
      </c>
      <c r="J412" s="655">
        <v>22</v>
      </c>
      <c r="K412" s="655">
        <v>1</v>
      </c>
      <c r="L412" s="656" t="s">
        <v>34</v>
      </c>
      <c r="M412" s="656" t="s">
        <v>35</v>
      </c>
      <c r="N412" s="656" t="s">
        <v>36</v>
      </c>
      <c r="O412" s="656" t="s">
        <v>37</v>
      </c>
      <c r="P412" s="656" t="s">
        <v>1176</v>
      </c>
      <c r="Q412" s="657">
        <v>0</v>
      </c>
      <c r="R412" s="657">
        <v>0</v>
      </c>
      <c r="S412" s="657">
        <v>51625</v>
      </c>
      <c r="T412" s="657">
        <v>51625</v>
      </c>
      <c r="U412" s="657">
        <v>5838</v>
      </c>
      <c r="V412" s="655">
        <v>2021</v>
      </c>
      <c r="W412" s="659"/>
      <c r="X412" s="660">
        <f t="shared" si="20"/>
        <v>8.8429256594724226</v>
      </c>
      <c r="Y412" s="661" t="str">
        <f t="shared" si="18"/>
        <v/>
      </c>
      <c r="Z412" s="661" t="str">
        <f t="shared" si="19"/>
        <v/>
      </c>
    </row>
    <row r="413" spans="1:26" s="128" customFormat="1" ht="25" hidden="1">
      <c r="A413" s="655">
        <v>6475</v>
      </c>
      <c r="B413" s="656" t="s">
        <v>33</v>
      </c>
      <c r="C413" s="655" t="s">
        <v>2793</v>
      </c>
      <c r="D413" s="656" t="s">
        <v>741</v>
      </c>
      <c r="E413" s="656" t="s">
        <v>132</v>
      </c>
      <c r="F413" s="655">
        <v>7601</v>
      </c>
      <c r="G413" s="656" t="s">
        <v>89</v>
      </c>
      <c r="H413" s="656" t="s">
        <v>1183</v>
      </c>
      <c r="I413" s="656" t="s">
        <v>58</v>
      </c>
      <c r="J413" s="655">
        <v>22</v>
      </c>
      <c r="K413" s="655">
        <v>1</v>
      </c>
      <c r="L413" s="656" t="s">
        <v>34</v>
      </c>
      <c r="M413" s="656" t="s">
        <v>35</v>
      </c>
      <c r="N413" s="656" t="s">
        <v>36</v>
      </c>
      <c r="O413" s="656" t="s">
        <v>37</v>
      </c>
      <c r="P413" s="656" t="s">
        <v>1176</v>
      </c>
      <c r="Q413" s="657">
        <v>0</v>
      </c>
      <c r="R413" s="657">
        <v>0</v>
      </c>
      <c r="S413" s="657">
        <v>94310</v>
      </c>
      <c r="T413" s="657">
        <v>94310</v>
      </c>
      <c r="U413" s="657">
        <v>10665</v>
      </c>
      <c r="V413" s="655">
        <v>2021</v>
      </c>
      <c r="W413" s="659"/>
      <c r="X413" s="660">
        <f t="shared" si="20"/>
        <v>8.8429442100328171</v>
      </c>
      <c r="Y413" s="661" t="str">
        <f t="shared" si="18"/>
        <v/>
      </c>
      <c r="Z413" s="661" t="str">
        <f t="shared" si="19"/>
        <v/>
      </c>
    </row>
    <row r="414" spans="1:26" s="128" customFormat="1" hidden="1">
      <c r="A414" s="655">
        <v>6483</v>
      </c>
      <c r="B414" s="656" t="s">
        <v>33</v>
      </c>
      <c r="C414" s="655" t="s">
        <v>2793</v>
      </c>
      <c r="D414" s="656" t="s">
        <v>742</v>
      </c>
      <c r="E414" s="656" t="s">
        <v>2125</v>
      </c>
      <c r="F414" s="655">
        <v>61122</v>
      </c>
      <c r="G414" s="656" t="s">
        <v>89</v>
      </c>
      <c r="H414" s="656" t="s">
        <v>1183</v>
      </c>
      <c r="I414" s="656" t="s">
        <v>58</v>
      </c>
      <c r="J414" s="655">
        <v>22</v>
      </c>
      <c r="K414" s="655">
        <v>2</v>
      </c>
      <c r="L414" s="656" t="s">
        <v>52</v>
      </c>
      <c r="M414" s="656" t="s">
        <v>35</v>
      </c>
      <c r="N414" s="656" t="s">
        <v>36</v>
      </c>
      <c r="O414" s="656" t="s">
        <v>37</v>
      </c>
      <c r="P414" s="656" t="s">
        <v>1176</v>
      </c>
      <c r="Q414" s="657">
        <v>0</v>
      </c>
      <c r="R414" s="657">
        <v>0</v>
      </c>
      <c r="S414" s="657">
        <v>313174</v>
      </c>
      <c r="T414" s="657">
        <v>313174</v>
      </c>
      <c r="U414" s="657">
        <v>35415</v>
      </c>
      <c r="V414" s="655">
        <v>2021</v>
      </c>
      <c r="W414" s="659"/>
      <c r="X414" s="660">
        <f t="shared" si="20"/>
        <v>8.8429761400536488</v>
      </c>
      <c r="Y414" s="661" t="str">
        <f t="shared" si="18"/>
        <v/>
      </c>
      <c r="Z414" s="661" t="str">
        <f t="shared" si="19"/>
        <v/>
      </c>
    </row>
    <row r="415" spans="1:26" s="128" customFormat="1" ht="25" hidden="1">
      <c r="A415" s="655">
        <v>6486</v>
      </c>
      <c r="B415" s="656" t="s">
        <v>33</v>
      </c>
      <c r="C415" s="655" t="s">
        <v>2793</v>
      </c>
      <c r="D415" s="656" t="s">
        <v>743</v>
      </c>
      <c r="E415" s="656" t="s">
        <v>577</v>
      </c>
      <c r="F415" s="655">
        <v>13511</v>
      </c>
      <c r="G415" s="656" t="s">
        <v>57</v>
      </c>
      <c r="H415" s="656" t="s">
        <v>1182</v>
      </c>
      <c r="I415" s="656" t="s">
        <v>58</v>
      </c>
      <c r="J415" s="655">
        <v>22</v>
      </c>
      <c r="K415" s="655">
        <v>1</v>
      </c>
      <c r="L415" s="656" t="s">
        <v>34</v>
      </c>
      <c r="M415" s="656" t="s">
        <v>35</v>
      </c>
      <c r="N415" s="656" t="s">
        <v>36</v>
      </c>
      <c r="O415" s="656" t="s">
        <v>37</v>
      </c>
      <c r="P415" s="656" t="s">
        <v>1176</v>
      </c>
      <c r="Q415" s="657">
        <v>0</v>
      </c>
      <c r="R415" s="657">
        <v>0</v>
      </c>
      <c r="S415" s="657">
        <v>116711</v>
      </c>
      <c r="T415" s="657">
        <v>116711</v>
      </c>
      <c r="U415" s="657">
        <v>13198</v>
      </c>
      <c r="V415" s="655">
        <v>2021</v>
      </c>
      <c r="W415" s="659"/>
      <c r="X415" s="660">
        <f t="shared" si="20"/>
        <v>8.8430822851947273</v>
      </c>
      <c r="Y415" s="661" t="str">
        <f t="shared" si="18"/>
        <v/>
      </c>
      <c r="Z415" s="661" t="str">
        <f t="shared" si="19"/>
        <v/>
      </c>
    </row>
    <row r="416" spans="1:26" s="128" customFormat="1" ht="25" hidden="1">
      <c r="A416" s="655">
        <v>6519</v>
      </c>
      <c r="B416" s="656" t="s">
        <v>33</v>
      </c>
      <c r="C416" s="655" t="s">
        <v>2793</v>
      </c>
      <c r="D416" s="656" t="s">
        <v>744</v>
      </c>
      <c r="E416" s="656" t="s">
        <v>132</v>
      </c>
      <c r="F416" s="655">
        <v>7601</v>
      </c>
      <c r="G416" s="656" t="s">
        <v>89</v>
      </c>
      <c r="H416" s="656" t="s">
        <v>1183</v>
      </c>
      <c r="I416" s="656" t="s">
        <v>58</v>
      </c>
      <c r="J416" s="655">
        <v>22</v>
      </c>
      <c r="K416" s="655">
        <v>1</v>
      </c>
      <c r="L416" s="656" t="s">
        <v>34</v>
      </c>
      <c r="M416" s="656" t="s">
        <v>35</v>
      </c>
      <c r="N416" s="656" t="s">
        <v>36</v>
      </c>
      <c r="O416" s="656" t="s">
        <v>37</v>
      </c>
      <c r="P416" s="656" t="s">
        <v>1176</v>
      </c>
      <c r="Q416" s="657">
        <v>0</v>
      </c>
      <c r="R416" s="657">
        <v>0</v>
      </c>
      <c r="S416" s="657">
        <v>102676</v>
      </c>
      <c r="T416" s="657">
        <v>102676</v>
      </c>
      <c r="U416" s="657">
        <v>11611</v>
      </c>
      <c r="V416" s="655">
        <v>2021</v>
      </c>
      <c r="W416" s="659"/>
      <c r="X416" s="660">
        <f t="shared" si="20"/>
        <v>8.8429937128584957</v>
      </c>
      <c r="Y416" s="661" t="str">
        <f t="shared" si="18"/>
        <v/>
      </c>
      <c r="Z416" s="661" t="str">
        <f t="shared" si="19"/>
        <v/>
      </c>
    </row>
    <row r="417" spans="1:26" s="128" customFormat="1" ht="25" hidden="1">
      <c r="A417" s="655">
        <v>6519</v>
      </c>
      <c r="B417" s="656" t="s">
        <v>33</v>
      </c>
      <c r="C417" s="655" t="s">
        <v>2793</v>
      </c>
      <c r="D417" s="656" t="s">
        <v>744</v>
      </c>
      <c r="E417" s="656" t="s">
        <v>132</v>
      </c>
      <c r="F417" s="655">
        <v>7601</v>
      </c>
      <c r="G417" s="656" t="s">
        <v>89</v>
      </c>
      <c r="H417" s="656" t="s">
        <v>1183</v>
      </c>
      <c r="I417" s="656" t="s">
        <v>58</v>
      </c>
      <c r="J417" s="655">
        <v>22</v>
      </c>
      <c r="K417" s="655">
        <v>1</v>
      </c>
      <c r="L417" s="656" t="s">
        <v>34</v>
      </c>
      <c r="M417" s="656" t="s">
        <v>51</v>
      </c>
      <c r="N417" s="656" t="s">
        <v>46</v>
      </c>
      <c r="O417" s="656" t="s">
        <v>46</v>
      </c>
      <c r="P417" s="656" t="s">
        <v>47</v>
      </c>
      <c r="Q417" s="657">
        <v>142</v>
      </c>
      <c r="R417" s="657">
        <v>142</v>
      </c>
      <c r="S417" s="657">
        <v>825</v>
      </c>
      <c r="T417" s="657">
        <v>825</v>
      </c>
      <c r="U417" s="657">
        <v>80</v>
      </c>
      <c r="V417" s="655">
        <v>2021</v>
      </c>
      <c r="W417" s="659"/>
      <c r="X417" s="660">
        <f t="shared" si="20"/>
        <v>10.3125</v>
      </c>
      <c r="Y417" s="661" t="str">
        <f t="shared" si="18"/>
        <v/>
      </c>
      <c r="Z417" s="661" t="str">
        <f t="shared" si="19"/>
        <v/>
      </c>
    </row>
    <row r="418" spans="1:26" s="128" customFormat="1" ht="25" hidden="1">
      <c r="A418" s="655">
        <v>6519</v>
      </c>
      <c r="B418" s="656" t="s">
        <v>33</v>
      </c>
      <c r="C418" s="655" t="s">
        <v>2793</v>
      </c>
      <c r="D418" s="656" t="s">
        <v>744</v>
      </c>
      <c r="E418" s="656" t="s">
        <v>132</v>
      </c>
      <c r="F418" s="655">
        <v>7601</v>
      </c>
      <c r="G418" s="656" t="s">
        <v>89</v>
      </c>
      <c r="H418" s="656" t="s">
        <v>1183</v>
      </c>
      <c r="I418" s="656" t="s">
        <v>58</v>
      </c>
      <c r="J418" s="655">
        <v>22</v>
      </c>
      <c r="K418" s="655">
        <v>1</v>
      </c>
      <c r="L418" s="656" t="s">
        <v>34</v>
      </c>
      <c r="M418" s="656" t="s">
        <v>42</v>
      </c>
      <c r="N418" s="656" t="s">
        <v>46</v>
      </c>
      <c r="O418" s="656" t="s">
        <v>46</v>
      </c>
      <c r="P418" s="656" t="s">
        <v>47</v>
      </c>
      <c r="Q418" s="657">
        <v>0</v>
      </c>
      <c r="R418" s="657">
        <v>0</v>
      </c>
      <c r="S418" s="657">
        <v>0</v>
      </c>
      <c r="T418" s="657">
        <v>0</v>
      </c>
      <c r="U418" s="657">
        <v>0</v>
      </c>
      <c r="V418" s="655">
        <v>2021</v>
      </c>
      <c r="W418" s="659"/>
      <c r="X418" s="660" t="str">
        <f t="shared" si="20"/>
        <v/>
      </c>
      <c r="Y418" s="661" t="str">
        <f t="shared" si="18"/>
        <v/>
      </c>
      <c r="Z418" s="661" t="str">
        <f t="shared" si="19"/>
        <v/>
      </c>
    </row>
    <row r="419" spans="1:26" s="128" customFormat="1" ht="25" hidden="1">
      <c r="A419" s="655">
        <v>6520</v>
      </c>
      <c r="B419" s="656" t="s">
        <v>33</v>
      </c>
      <c r="C419" s="655" t="s">
        <v>2793</v>
      </c>
      <c r="D419" s="656" t="s">
        <v>745</v>
      </c>
      <c r="E419" s="656" t="s">
        <v>132</v>
      </c>
      <c r="F419" s="655">
        <v>7601</v>
      </c>
      <c r="G419" s="656" t="s">
        <v>89</v>
      </c>
      <c r="H419" s="656" t="s">
        <v>1183</v>
      </c>
      <c r="I419" s="656" t="s">
        <v>58</v>
      </c>
      <c r="J419" s="655">
        <v>22</v>
      </c>
      <c r="K419" s="655">
        <v>1</v>
      </c>
      <c r="L419" s="656" t="s">
        <v>34</v>
      </c>
      <c r="M419" s="656" t="s">
        <v>35</v>
      </c>
      <c r="N419" s="656" t="s">
        <v>36</v>
      </c>
      <c r="O419" s="656" t="s">
        <v>37</v>
      </c>
      <c r="P419" s="656" t="s">
        <v>1176</v>
      </c>
      <c r="Q419" s="657">
        <v>0</v>
      </c>
      <c r="R419" s="657">
        <v>0</v>
      </c>
      <c r="S419" s="657">
        <v>93966</v>
      </c>
      <c r="T419" s="657">
        <v>93966</v>
      </c>
      <c r="U419" s="657">
        <v>10626</v>
      </c>
      <c r="V419" s="655">
        <v>2021</v>
      </c>
      <c r="W419" s="659"/>
      <c r="X419" s="660">
        <f t="shared" si="20"/>
        <v>8.8430265386787124</v>
      </c>
      <c r="Y419" s="661" t="str">
        <f t="shared" si="18"/>
        <v/>
      </c>
      <c r="Z419" s="661" t="str">
        <f t="shared" si="19"/>
        <v/>
      </c>
    </row>
    <row r="420" spans="1:26" s="128" customFormat="1" ht="25" hidden="1">
      <c r="A420" s="655">
        <v>6526</v>
      </c>
      <c r="B420" s="656" t="s">
        <v>33</v>
      </c>
      <c r="C420" s="655" t="s">
        <v>2793</v>
      </c>
      <c r="D420" s="656" t="s">
        <v>1592</v>
      </c>
      <c r="E420" s="656" t="s">
        <v>577</v>
      </c>
      <c r="F420" s="655">
        <v>13511</v>
      </c>
      <c r="G420" s="656" t="s">
        <v>57</v>
      </c>
      <c r="H420" s="656" t="s">
        <v>1182</v>
      </c>
      <c r="I420" s="656" t="s">
        <v>58</v>
      </c>
      <c r="J420" s="655">
        <v>22</v>
      </c>
      <c r="K420" s="655">
        <v>1</v>
      </c>
      <c r="L420" s="656" t="s">
        <v>34</v>
      </c>
      <c r="M420" s="656" t="s">
        <v>35</v>
      </c>
      <c r="N420" s="656" t="s">
        <v>36</v>
      </c>
      <c r="O420" s="656" t="s">
        <v>37</v>
      </c>
      <c r="P420" s="656" t="s">
        <v>1176</v>
      </c>
      <c r="Q420" s="657">
        <v>0</v>
      </c>
      <c r="R420" s="657">
        <v>0</v>
      </c>
      <c r="S420" s="657">
        <v>86565</v>
      </c>
      <c r="T420" s="657">
        <v>86565</v>
      </c>
      <c r="U420" s="657">
        <v>9789</v>
      </c>
      <c r="V420" s="655">
        <v>2021</v>
      </c>
      <c r="W420" s="659"/>
      <c r="X420" s="660">
        <f t="shared" si="20"/>
        <v>8.8430891817345998</v>
      </c>
      <c r="Y420" s="661" t="str">
        <f t="shared" si="18"/>
        <v/>
      </c>
      <c r="Z420" s="661" t="str">
        <f t="shared" si="19"/>
        <v/>
      </c>
    </row>
    <row r="421" spans="1:26" s="128" customFormat="1" ht="25" hidden="1">
      <c r="A421" s="655">
        <v>6527</v>
      </c>
      <c r="B421" s="656" t="s">
        <v>33</v>
      </c>
      <c r="C421" s="655" t="s">
        <v>2793</v>
      </c>
      <c r="D421" s="656" t="s">
        <v>746</v>
      </c>
      <c r="E421" s="656" t="s">
        <v>119</v>
      </c>
      <c r="F421" s="655">
        <v>5914</v>
      </c>
      <c r="G421" s="656" t="s">
        <v>57</v>
      </c>
      <c r="H421" s="656" t="s">
        <v>1182</v>
      </c>
      <c r="I421" s="656" t="s">
        <v>58</v>
      </c>
      <c r="J421" s="655">
        <v>22</v>
      </c>
      <c r="K421" s="655">
        <v>2</v>
      </c>
      <c r="L421" s="656" t="s">
        <v>52</v>
      </c>
      <c r="M421" s="656" t="s">
        <v>35</v>
      </c>
      <c r="N421" s="656" t="s">
        <v>36</v>
      </c>
      <c r="O421" s="656" t="s">
        <v>37</v>
      </c>
      <c r="P421" s="656" t="s">
        <v>1176</v>
      </c>
      <c r="Q421" s="657">
        <v>0</v>
      </c>
      <c r="R421" s="657">
        <v>0</v>
      </c>
      <c r="S421" s="657">
        <v>575837</v>
      </c>
      <c r="T421" s="657">
        <v>575837</v>
      </c>
      <c r="U421" s="657">
        <v>65118</v>
      </c>
      <c r="V421" s="655">
        <v>2021</v>
      </c>
      <c r="W421" s="659"/>
      <c r="X421" s="660">
        <f t="shared" si="20"/>
        <v>8.842977364169661</v>
      </c>
      <c r="Y421" s="661" t="str">
        <f t="shared" si="18"/>
        <v/>
      </c>
      <c r="Z421" s="661" t="str">
        <f t="shared" si="19"/>
        <v/>
      </c>
    </row>
    <row r="422" spans="1:26" s="128" customFormat="1" hidden="1">
      <c r="A422" s="655">
        <v>6529</v>
      </c>
      <c r="B422" s="656" t="s">
        <v>33</v>
      </c>
      <c r="C422" s="655" t="s">
        <v>2793</v>
      </c>
      <c r="D422" s="656" t="s">
        <v>747</v>
      </c>
      <c r="E422" s="656" t="s">
        <v>2125</v>
      </c>
      <c r="F422" s="655">
        <v>61122</v>
      </c>
      <c r="G422" s="656" t="s">
        <v>89</v>
      </c>
      <c r="H422" s="656" t="s">
        <v>1183</v>
      </c>
      <c r="I422" s="656" t="s">
        <v>58</v>
      </c>
      <c r="J422" s="655">
        <v>22</v>
      </c>
      <c r="K422" s="655">
        <v>2</v>
      </c>
      <c r="L422" s="656" t="s">
        <v>52</v>
      </c>
      <c r="M422" s="656" t="s">
        <v>35</v>
      </c>
      <c r="N422" s="656" t="s">
        <v>36</v>
      </c>
      <c r="O422" s="656" t="s">
        <v>37</v>
      </c>
      <c r="P422" s="656" t="s">
        <v>1176</v>
      </c>
      <c r="Q422" s="657">
        <v>0</v>
      </c>
      <c r="R422" s="657">
        <v>0</v>
      </c>
      <c r="S422" s="657">
        <v>175435</v>
      </c>
      <c r="T422" s="657">
        <v>175435</v>
      </c>
      <c r="U422" s="657">
        <v>19839</v>
      </c>
      <c r="V422" s="655">
        <v>2021</v>
      </c>
      <c r="W422" s="659"/>
      <c r="X422" s="660">
        <f t="shared" si="20"/>
        <v>8.8429356318362817</v>
      </c>
      <c r="Y422" s="661" t="str">
        <f t="shared" si="18"/>
        <v/>
      </c>
      <c r="Z422" s="661" t="str">
        <f t="shared" si="19"/>
        <v/>
      </c>
    </row>
    <row r="423" spans="1:26" s="128" customFormat="1" hidden="1">
      <c r="A423" s="655">
        <v>6567</v>
      </c>
      <c r="B423" s="656" t="s">
        <v>33</v>
      </c>
      <c r="C423" s="655" t="s">
        <v>2793</v>
      </c>
      <c r="D423" s="656" t="s">
        <v>748</v>
      </c>
      <c r="E423" s="656" t="s">
        <v>2800</v>
      </c>
      <c r="F423" s="655">
        <v>1857</v>
      </c>
      <c r="G423" s="656" t="s">
        <v>131</v>
      </c>
      <c r="H423" s="656" t="s">
        <v>1183</v>
      </c>
      <c r="I423" s="656" t="s">
        <v>58</v>
      </c>
      <c r="J423" s="655">
        <v>22</v>
      </c>
      <c r="K423" s="655">
        <v>1</v>
      </c>
      <c r="L423" s="656" t="s">
        <v>34</v>
      </c>
      <c r="M423" s="656" t="s">
        <v>51</v>
      </c>
      <c r="N423" s="656" t="s">
        <v>46</v>
      </c>
      <c r="O423" s="656" t="s">
        <v>46</v>
      </c>
      <c r="P423" s="656" t="s">
        <v>47</v>
      </c>
      <c r="Q423" s="657">
        <v>5</v>
      </c>
      <c r="R423" s="657">
        <v>5</v>
      </c>
      <c r="S423" s="657">
        <v>30</v>
      </c>
      <c r="T423" s="657">
        <v>30</v>
      </c>
      <c r="U423" s="657">
        <v>2</v>
      </c>
      <c r="V423" s="655">
        <v>2021</v>
      </c>
      <c r="W423" s="659"/>
      <c r="X423" s="660">
        <f t="shared" si="20"/>
        <v>15</v>
      </c>
      <c r="Y423" s="661" t="str">
        <f t="shared" si="18"/>
        <v/>
      </c>
      <c r="Z423" s="661" t="str">
        <f t="shared" si="19"/>
        <v/>
      </c>
    </row>
    <row r="424" spans="1:26" s="128" customFormat="1">
      <c r="A424" s="655">
        <v>6586</v>
      </c>
      <c r="B424" s="656" t="s">
        <v>33</v>
      </c>
      <c r="C424" s="655" t="s">
        <v>2793</v>
      </c>
      <c r="D424" s="656" t="s">
        <v>749</v>
      </c>
      <c r="E424" s="656" t="s">
        <v>3105</v>
      </c>
      <c r="F424" s="655">
        <v>11624</v>
      </c>
      <c r="G424" s="656" t="s">
        <v>81</v>
      </c>
      <c r="H424" s="656" t="s">
        <v>1183</v>
      </c>
      <c r="I424" s="656" t="s">
        <v>58</v>
      </c>
      <c r="J424" s="655">
        <v>22</v>
      </c>
      <c r="K424" s="655">
        <v>1</v>
      </c>
      <c r="L424" s="656" t="s">
        <v>34</v>
      </c>
      <c r="M424" s="656" t="s">
        <v>51</v>
      </c>
      <c r="N424" s="656" t="s">
        <v>46</v>
      </c>
      <c r="O424" s="656" t="s">
        <v>46</v>
      </c>
      <c r="P424" s="656" t="s">
        <v>47</v>
      </c>
      <c r="Q424" s="657">
        <v>63</v>
      </c>
      <c r="R424" s="657">
        <v>63</v>
      </c>
      <c r="S424" s="657">
        <v>366</v>
      </c>
      <c r="T424" s="657">
        <v>366</v>
      </c>
      <c r="U424" s="657">
        <v>29</v>
      </c>
      <c r="V424" s="655">
        <v>2021</v>
      </c>
      <c r="W424" s="659"/>
      <c r="X424" s="660">
        <f t="shared" si="20"/>
        <v>12.620689655172415</v>
      </c>
      <c r="Y424" s="661" t="str">
        <f t="shared" si="18"/>
        <v/>
      </c>
      <c r="Z424" s="661" t="str">
        <f t="shared" si="19"/>
        <v/>
      </c>
    </row>
    <row r="425" spans="1:26" s="128" customFormat="1" hidden="1">
      <c r="A425" s="655">
        <v>6618</v>
      </c>
      <c r="B425" s="656" t="s">
        <v>33</v>
      </c>
      <c r="C425" s="655" t="s">
        <v>2793</v>
      </c>
      <c r="D425" s="656" t="s">
        <v>750</v>
      </c>
      <c r="E425" s="656" t="s">
        <v>1046</v>
      </c>
      <c r="F425" s="655">
        <v>18371</v>
      </c>
      <c r="G425" s="656" t="s">
        <v>89</v>
      </c>
      <c r="H425" s="656" t="s">
        <v>1183</v>
      </c>
      <c r="I425" s="656" t="s">
        <v>58</v>
      </c>
      <c r="J425" s="655">
        <v>22</v>
      </c>
      <c r="K425" s="655">
        <v>1</v>
      </c>
      <c r="L425" s="656" t="s">
        <v>34</v>
      </c>
      <c r="M425" s="656" t="s">
        <v>35</v>
      </c>
      <c r="N425" s="656" t="s">
        <v>36</v>
      </c>
      <c r="O425" s="656" t="s">
        <v>37</v>
      </c>
      <c r="P425" s="656" t="s">
        <v>1176</v>
      </c>
      <c r="Q425" s="657">
        <v>0</v>
      </c>
      <c r="R425" s="657">
        <v>0</v>
      </c>
      <c r="S425" s="657">
        <v>260062</v>
      </c>
      <c r="T425" s="657">
        <v>260062</v>
      </c>
      <c r="U425" s="657">
        <v>29409</v>
      </c>
      <c r="V425" s="655">
        <v>2021</v>
      </c>
      <c r="W425" s="659"/>
      <c r="X425" s="660">
        <f t="shared" si="20"/>
        <v>8.8429392362882115</v>
      </c>
      <c r="Y425" s="661" t="str">
        <f t="shared" si="18"/>
        <v/>
      </c>
      <c r="Z425" s="661" t="str">
        <f t="shared" si="19"/>
        <v/>
      </c>
    </row>
    <row r="426" spans="1:26" s="128" customFormat="1" ht="25" hidden="1">
      <c r="A426" s="655">
        <v>6635</v>
      </c>
      <c r="B426" s="656" t="s">
        <v>33</v>
      </c>
      <c r="C426" s="655" t="s">
        <v>2793</v>
      </c>
      <c r="D426" s="656" t="s">
        <v>376</v>
      </c>
      <c r="E426" s="656" t="s">
        <v>377</v>
      </c>
      <c r="F426" s="655">
        <v>4180</v>
      </c>
      <c r="G426" s="656" t="s">
        <v>41</v>
      </c>
      <c r="H426" s="656" t="s">
        <v>1183</v>
      </c>
      <c r="I426" s="656" t="s">
        <v>58</v>
      </c>
      <c r="J426" s="655">
        <v>22</v>
      </c>
      <c r="K426" s="655">
        <v>1</v>
      </c>
      <c r="L426" s="656" t="s">
        <v>34</v>
      </c>
      <c r="M426" s="656" t="s">
        <v>50</v>
      </c>
      <c r="N426" s="656" t="s">
        <v>46</v>
      </c>
      <c r="O426" s="656" t="s">
        <v>46</v>
      </c>
      <c r="P426" s="656" t="s">
        <v>47</v>
      </c>
      <c r="Q426" s="657">
        <v>453</v>
      </c>
      <c r="R426" s="657">
        <v>453</v>
      </c>
      <c r="S426" s="657">
        <v>2637</v>
      </c>
      <c r="T426" s="657">
        <v>2637</v>
      </c>
      <c r="U426" s="657">
        <v>210.09399999999999</v>
      </c>
      <c r="V426" s="655">
        <v>2021</v>
      </c>
      <c r="W426" s="659" t="s">
        <v>3675</v>
      </c>
      <c r="X426" s="660">
        <f t="shared" si="20"/>
        <v>12.55152455567508</v>
      </c>
      <c r="Y426" s="661" t="str">
        <f t="shared" si="18"/>
        <v/>
      </c>
      <c r="Z426" s="661" t="str">
        <f t="shared" si="19"/>
        <v/>
      </c>
    </row>
    <row r="427" spans="1:26" s="128" customFormat="1" ht="25" hidden="1">
      <c r="A427" s="655">
        <v>6635</v>
      </c>
      <c r="B427" s="656" t="s">
        <v>33</v>
      </c>
      <c r="C427" s="655" t="s">
        <v>2793</v>
      </c>
      <c r="D427" s="656" t="s">
        <v>376</v>
      </c>
      <c r="E427" s="656" t="s">
        <v>377</v>
      </c>
      <c r="F427" s="655">
        <v>4180</v>
      </c>
      <c r="G427" s="656" t="s">
        <v>41</v>
      </c>
      <c r="H427" s="656" t="s">
        <v>1183</v>
      </c>
      <c r="I427" s="656" t="s">
        <v>58</v>
      </c>
      <c r="J427" s="655">
        <v>22</v>
      </c>
      <c r="K427" s="655">
        <v>1</v>
      </c>
      <c r="L427" s="656" t="s">
        <v>34</v>
      </c>
      <c r="M427" s="656" t="s">
        <v>50</v>
      </c>
      <c r="N427" s="656" t="s">
        <v>63</v>
      </c>
      <c r="O427" s="656" t="s">
        <v>64</v>
      </c>
      <c r="P427" s="656" t="s">
        <v>1037</v>
      </c>
      <c r="Q427" s="657">
        <v>0</v>
      </c>
      <c r="R427" s="657">
        <v>0</v>
      </c>
      <c r="S427" s="657">
        <v>0</v>
      </c>
      <c r="T427" s="657">
        <v>0</v>
      </c>
      <c r="U427" s="657">
        <v>0</v>
      </c>
      <c r="V427" s="655">
        <v>2021</v>
      </c>
      <c r="W427" s="659" t="s">
        <v>3675</v>
      </c>
      <c r="X427" s="660" t="str">
        <f t="shared" si="20"/>
        <v/>
      </c>
      <c r="Y427" s="661" t="str">
        <f t="shared" si="18"/>
        <v/>
      </c>
      <c r="Z427" s="661" t="str">
        <f t="shared" si="19"/>
        <v/>
      </c>
    </row>
    <row r="428" spans="1:26" s="128" customFormat="1" ht="25" hidden="1">
      <c r="A428" s="655">
        <v>6635</v>
      </c>
      <c r="B428" s="656" t="s">
        <v>33</v>
      </c>
      <c r="C428" s="655" t="s">
        <v>2793</v>
      </c>
      <c r="D428" s="656" t="s">
        <v>376</v>
      </c>
      <c r="E428" s="656" t="s">
        <v>377</v>
      </c>
      <c r="F428" s="655">
        <v>4180</v>
      </c>
      <c r="G428" s="656" t="s">
        <v>41</v>
      </c>
      <c r="H428" s="656" t="s">
        <v>1183</v>
      </c>
      <c r="I428" s="656" t="s">
        <v>58</v>
      </c>
      <c r="J428" s="655">
        <v>22</v>
      </c>
      <c r="K428" s="655">
        <v>1</v>
      </c>
      <c r="L428" s="656" t="s">
        <v>34</v>
      </c>
      <c r="M428" s="656" t="s">
        <v>50</v>
      </c>
      <c r="N428" s="656" t="s">
        <v>39</v>
      </c>
      <c r="O428" s="656" t="s">
        <v>39</v>
      </c>
      <c r="P428" s="656" t="s">
        <v>1037</v>
      </c>
      <c r="Q428" s="657">
        <v>58911</v>
      </c>
      <c r="R428" s="657">
        <v>58911</v>
      </c>
      <c r="S428" s="657">
        <v>60466</v>
      </c>
      <c r="T428" s="657">
        <v>60466</v>
      </c>
      <c r="U428" s="657">
        <v>4893.9059999999999</v>
      </c>
      <c r="V428" s="655">
        <v>2021</v>
      </c>
      <c r="W428" s="659" t="s">
        <v>3675</v>
      </c>
      <c r="X428" s="660">
        <f t="shared" si="20"/>
        <v>12.355366040949704</v>
      </c>
      <c r="Y428" s="661" t="str">
        <f t="shared" si="18"/>
        <v/>
      </c>
      <c r="Z428" s="661" t="str">
        <f t="shared" si="19"/>
        <v/>
      </c>
    </row>
    <row r="429" spans="1:26" s="128" customFormat="1" ht="25" hidden="1">
      <c r="A429" s="655">
        <v>7051</v>
      </c>
      <c r="B429" s="656" t="s">
        <v>33</v>
      </c>
      <c r="C429" s="655" t="s">
        <v>2793</v>
      </c>
      <c r="D429" s="656" t="s">
        <v>751</v>
      </c>
      <c r="E429" s="656" t="s">
        <v>1047</v>
      </c>
      <c r="F429" s="655">
        <v>20151</v>
      </c>
      <c r="G429" s="656" t="s">
        <v>89</v>
      </c>
      <c r="H429" s="656" t="s">
        <v>1183</v>
      </c>
      <c r="I429" s="656" t="s">
        <v>58</v>
      </c>
      <c r="J429" s="655">
        <v>22</v>
      </c>
      <c r="K429" s="655">
        <v>1</v>
      </c>
      <c r="L429" s="656" t="s">
        <v>34</v>
      </c>
      <c r="M429" s="656" t="s">
        <v>35</v>
      </c>
      <c r="N429" s="656" t="s">
        <v>36</v>
      </c>
      <c r="O429" s="656" t="s">
        <v>37</v>
      </c>
      <c r="P429" s="656" t="s">
        <v>1176</v>
      </c>
      <c r="Q429" s="657">
        <v>0</v>
      </c>
      <c r="R429" s="657">
        <v>0</v>
      </c>
      <c r="S429" s="657">
        <v>16236</v>
      </c>
      <c r="T429" s="657">
        <v>16236</v>
      </c>
      <c r="U429" s="657">
        <v>1836</v>
      </c>
      <c r="V429" s="655">
        <v>2021</v>
      </c>
      <c r="W429" s="659"/>
      <c r="X429" s="660">
        <f t="shared" si="20"/>
        <v>8.8431372549019613</v>
      </c>
      <c r="Y429" s="661" t="str">
        <f t="shared" si="18"/>
        <v/>
      </c>
      <c r="Z429" s="661" t="str">
        <f t="shared" si="19"/>
        <v/>
      </c>
    </row>
    <row r="430" spans="1:26" s="128" customFormat="1" ht="25" hidden="1">
      <c r="A430" s="655">
        <v>7056</v>
      </c>
      <c r="B430" s="656" t="s">
        <v>33</v>
      </c>
      <c r="C430" s="655" t="s">
        <v>2793</v>
      </c>
      <c r="D430" s="656" t="s">
        <v>752</v>
      </c>
      <c r="E430" s="656" t="s">
        <v>132</v>
      </c>
      <c r="F430" s="655">
        <v>7601</v>
      </c>
      <c r="G430" s="656" t="s">
        <v>89</v>
      </c>
      <c r="H430" s="656" t="s">
        <v>1183</v>
      </c>
      <c r="I430" s="656" t="s">
        <v>58</v>
      </c>
      <c r="J430" s="655">
        <v>22</v>
      </c>
      <c r="K430" s="655">
        <v>1</v>
      </c>
      <c r="L430" s="656" t="s">
        <v>34</v>
      </c>
      <c r="M430" s="656" t="s">
        <v>35</v>
      </c>
      <c r="N430" s="656" t="s">
        <v>36</v>
      </c>
      <c r="O430" s="656" t="s">
        <v>37</v>
      </c>
      <c r="P430" s="656" t="s">
        <v>1176</v>
      </c>
      <c r="Q430" s="657">
        <v>0</v>
      </c>
      <c r="R430" s="657">
        <v>0</v>
      </c>
      <c r="S430" s="657">
        <v>74786</v>
      </c>
      <c r="T430" s="657">
        <v>74786</v>
      </c>
      <c r="U430" s="657">
        <v>8457</v>
      </c>
      <c r="V430" s="655">
        <v>2021</v>
      </c>
      <c r="W430" s="659"/>
      <c r="X430" s="660">
        <f t="shared" si="20"/>
        <v>8.8430885656852318</v>
      </c>
      <c r="Y430" s="661" t="str">
        <f t="shared" si="18"/>
        <v/>
      </c>
      <c r="Z430" s="661" t="str">
        <f t="shared" si="19"/>
        <v/>
      </c>
    </row>
    <row r="431" spans="1:26" s="128" customFormat="1" ht="25" hidden="1">
      <c r="A431" s="655">
        <v>7146</v>
      </c>
      <c r="B431" s="656" t="s">
        <v>33</v>
      </c>
      <c r="C431" s="655" t="s">
        <v>2793</v>
      </c>
      <c r="D431" s="656" t="s">
        <v>378</v>
      </c>
      <c r="E431" s="656" t="s">
        <v>627</v>
      </c>
      <c r="F431" s="655">
        <v>56505</v>
      </c>
      <c r="G431" s="656" t="s">
        <v>57</v>
      </c>
      <c r="H431" s="656" t="s">
        <v>1182</v>
      </c>
      <c r="I431" s="656" t="s">
        <v>58</v>
      </c>
      <c r="J431" s="655">
        <v>22</v>
      </c>
      <c r="K431" s="655">
        <v>1</v>
      </c>
      <c r="L431" s="656" t="s">
        <v>34</v>
      </c>
      <c r="M431" s="656" t="s">
        <v>50</v>
      </c>
      <c r="N431" s="656" t="s">
        <v>46</v>
      </c>
      <c r="O431" s="656" t="s">
        <v>46</v>
      </c>
      <c r="P431" s="656" t="s">
        <v>47</v>
      </c>
      <c r="Q431" s="657">
        <v>66161</v>
      </c>
      <c r="R431" s="657">
        <v>66161</v>
      </c>
      <c r="S431" s="657">
        <v>376655</v>
      </c>
      <c r="T431" s="657">
        <v>376655</v>
      </c>
      <c r="U431" s="657">
        <v>28318</v>
      </c>
      <c r="V431" s="655">
        <v>2021</v>
      </c>
      <c r="W431" s="659" t="s">
        <v>3675</v>
      </c>
      <c r="X431" s="660">
        <f t="shared" si="20"/>
        <v>13.300904018645385</v>
      </c>
      <c r="Y431" s="661" t="str">
        <f t="shared" si="18"/>
        <v/>
      </c>
      <c r="Z431" s="661" t="str">
        <f t="shared" si="19"/>
        <v/>
      </c>
    </row>
    <row r="432" spans="1:26" s="128" customFormat="1" hidden="1">
      <c r="A432" s="655">
        <v>7314</v>
      </c>
      <c r="B432" s="656" t="s">
        <v>33</v>
      </c>
      <c r="C432" s="655" t="s">
        <v>2793</v>
      </c>
      <c r="D432" s="656" t="s">
        <v>753</v>
      </c>
      <c r="E432" s="656" t="s">
        <v>56</v>
      </c>
      <c r="F432" s="655">
        <v>15296</v>
      </c>
      <c r="G432" s="656" t="s">
        <v>57</v>
      </c>
      <c r="H432" s="656" t="s">
        <v>1182</v>
      </c>
      <c r="I432" s="656" t="s">
        <v>58</v>
      </c>
      <c r="J432" s="655">
        <v>22</v>
      </c>
      <c r="K432" s="655">
        <v>1</v>
      </c>
      <c r="L432" s="656" t="s">
        <v>34</v>
      </c>
      <c r="M432" s="656" t="s">
        <v>38</v>
      </c>
      <c r="N432" s="656" t="s">
        <v>46</v>
      </c>
      <c r="O432" s="656" t="s">
        <v>46</v>
      </c>
      <c r="P432" s="656" t="s">
        <v>47</v>
      </c>
      <c r="Q432" s="657">
        <v>0</v>
      </c>
      <c r="R432" s="657">
        <v>0</v>
      </c>
      <c r="S432" s="657">
        <v>0</v>
      </c>
      <c r="T432" s="657">
        <v>0</v>
      </c>
      <c r="U432" s="657">
        <v>0</v>
      </c>
      <c r="V432" s="655">
        <v>2021</v>
      </c>
      <c r="W432" s="659" t="s">
        <v>3675</v>
      </c>
      <c r="X432" s="660" t="str">
        <f t="shared" si="20"/>
        <v/>
      </c>
      <c r="Y432" s="661" t="str">
        <f t="shared" si="18"/>
        <v/>
      </c>
      <c r="Z432" s="661" t="str">
        <f t="shared" si="19"/>
        <v/>
      </c>
    </row>
    <row r="433" spans="1:26" s="128" customFormat="1" hidden="1">
      <c r="A433" s="655">
        <v>7314</v>
      </c>
      <c r="B433" s="656" t="s">
        <v>33</v>
      </c>
      <c r="C433" s="655" t="s">
        <v>2793</v>
      </c>
      <c r="D433" s="656" t="s">
        <v>753</v>
      </c>
      <c r="E433" s="656" t="s">
        <v>56</v>
      </c>
      <c r="F433" s="655">
        <v>15296</v>
      </c>
      <c r="G433" s="656" t="s">
        <v>57</v>
      </c>
      <c r="H433" s="656" t="s">
        <v>1182</v>
      </c>
      <c r="I433" s="656" t="s">
        <v>58</v>
      </c>
      <c r="J433" s="655">
        <v>22</v>
      </c>
      <c r="K433" s="655">
        <v>1</v>
      </c>
      <c r="L433" s="656" t="s">
        <v>34</v>
      </c>
      <c r="M433" s="656" t="s">
        <v>38</v>
      </c>
      <c r="N433" s="656" t="s">
        <v>39</v>
      </c>
      <c r="O433" s="656" t="s">
        <v>39</v>
      </c>
      <c r="P433" s="656" t="s">
        <v>1037</v>
      </c>
      <c r="Q433" s="657">
        <v>0</v>
      </c>
      <c r="R433" s="657">
        <v>0</v>
      </c>
      <c r="S433" s="657">
        <v>0</v>
      </c>
      <c r="T433" s="657">
        <v>0</v>
      </c>
      <c r="U433" s="657">
        <v>0</v>
      </c>
      <c r="V433" s="655">
        <v>2021</v>
      </c>
      <c r="W433" s="659" t="s">
        <v>3675</v>
      </c>
      <c r="X433" s="660" t="str">
        <f t="shared" si="20"/>
        <v/>
      </c>
      <c r="Y433" s="661" t="str">
        <f t="shared" si="18"/>
        <v/>
      </c>
      <c r="Z433" s="661" t="str">
        <f t="shared" si="19"/>
        <v/>
      </c>
    </row>
    <row r="434" spans="1:26" s="128" customFormat="1" hidden="1">
      <c r="A434" s="655">
        <v>7314</v>
      </c>
      <c r="B434" s="656" t="s">
        <v>33</v>
      </c>
      <c r="C434" s="655" t="s">
        <v>2793</v>
      </c>
      <c r="D434" s="656" t="s">
        <v>753</v>
      </c>
      <c r="E434" s="656" t="s">
        <v>56</v>
      </c>
      <c r="F434" s="655">
        <v>15296</v>
      </c>
      <c r="G434" s="656" t="s">
        <v>57</v>
      </c>
      <c r="H434" s="656" t="s">
        <v>1182</v>
      </c>
      <c r="I434" s="656" t="s">
        <v>58</v>
      </c>
      <c r="J434" s="655">
        <v>22</v>
      </c>
      <c r="K434" s="655">
        <v>1</v>
      </c>
      <c r="L434" s="656" t="s">
        <v>34</v>
      </c>
      <c r="M434" s="656" t="s">
        <v>41</v>
      </c>
      <c r="N434" s="656" t="s">
        <v>46</v>
      </c>
      <c r="O434" s="656" t="s">
        <v>46</v>
      </c>
      <c r="P434" s="656" t="s">
        <v>47</v>
      </c>
      <c r="Q434" s="657">
        <v>4256</v>
      </c>
      <c r="R434" s="657">
        <v>4256</v>
      </c>
      <c r="S434" s="657">
        <v>24430</v>
      </c>
      <c r="T434" s="657">
        <v>24430</v>
      </c>
      <c r="U434" s="657">
        <v>2812.9209999999998</v>
      </c>
      <c r="V434" s="655">
        <v>2021</v>
      </c>
      <c r="W434" s="659" t="s">
        <v>3675</v>
      </c>
      <c r="X434" s="660">
        <f t="shared" si="20"/>
        <v>8.6849221858701338</v>
      </c>
      <c r="Y434" s="661" t="str">
        <f t="shared" si="18"/>
        <v/>
      </c>
      <c r="Z434" s="661" t="str">
        <f t="shared" si="19"/>
        <v/>
      </c>
    </row>
    <row r="435" spans="1:26" s="128" customFormat="1" hidden="1">
      <c r="A435" s="655">
        <v>7314</v>
      </c>
      <c r="B435" s="656" t="s">
        <v>33</v>
      </c>
      <c r="C435" s="655" t="s">
        <v>2793</v>
      </c>
      <c r="D435" s="656" t="s">
        <v>753</v>
      </c>
      <c r="E435" s="656" t="s">
        <v>56</v>
      </c>
      <c r="F435" s="655">
        <v>15296</v>
      </c>
      <c r="G435" s="656" t="s">
        <v>57</v>
      </c>
      <c r="H435" s="656" t="s">
        <v>1182</v>
      </c>
      <c r="I435" s="656" t="s">
        <v>58</v>
      </c>
      <c r="J435" s="655">
        <v>22</v>
      </c>
      <c r="K435" s="655">
        <v>1</v>
      </c>
      <c r="L435" s="656" t="s">
        <v>34</v>
      </c>
      <c r="M435" s="656" t="s">
        <v>41</v>
      </c>
      <c r="N435" s="656" t="s">
        <v>39</v>
      </c>
      <c r="O435" s="656" t="s">
        <v>39</v>
      </c>
      <c r="P435" s="656" t="s">
        <v>1037</v>
      </c>
      <c r="Q435" s="657">
        <v>990820</v>
      </c>
      <c r="R435" s="657">
        <v>990820</v>
      </c>
      <c r="S435" s="657">
        <v>1028107</v>
      </c>
      <c r="T435" s="657">
        <v>1028107</v>
      </c>
      <c r="U435" s="657">
        <v>122022.08</v>
      </c>
      <c r="V435" s="655">
        <v>2021</v>
      </c>
      <c r="W435" s="659" t="s">
        <v>3675</v>
      </c>
      <c r="X435" s="660">
        <f t="shared" si="20"/>
        <v>8.4255816652199336</v>
      </c>
      <c r="Y435" s="661" t="str">
        <f t="shared" si="18"/>
        <v/>
      </c>
      <c r="Z435" s="661" t="str">
        <f t="shared" si="19"/>
        <v/>
      </c>
    </row>
    <row r="436" spans="1:26" s="128" customFormat="1" ht="25" hidden="1">
      <c r="A436" s="655">
        <v>7381</v>
      </c>
      <c r="B436" s="656" t="s">
        <v>33</v>
      </c>
      <c r="C436" s="655" t="s">
        <v>2793</v>
      </c>
      <c r="D436" s="656" t="s">
        <v>379</v>
      </c>
      <c r="E436" s="656" t="s">
        <v>132</v>
      </c>
      <c r="F436" s="655">
        <v>7601</v>
      </c>
      <c r="G436" s="656" t="s">
        <v>89</v>
      </c>
      <c r="H436" s="656" t="s">
        <v>1183</v>
      </c>
      <c r="I436" s="656" t="s">
        <v>58</v>
      </c>
      <c r="J436" s="655">
        <v>22</v>
      </c>
      <c r="K436" s="655">
        <v>1</v>
      </c>
      <c r="L436" s="656" t="s">
        <v>34</v>
      </c>
      <c r="M436" s="656" t="s">
        <v>71</v>
      </c>
      <c r="N436" s="656" t="s">
        <v>72</v>
      </c>
      <c r="O436" s="656" t="s">
        <v>72</v>
      </c>
      <c r="P436" s="656" t="s">
        <v>1176</v>
      </c>
      <c r="Q436" s="657">
        <v>0</v>
      </c>
      <c r="R436" s="657">
        <v>0</v>
      </c>
      <c r="S436" s="657">
        <v>97009</v>
      </c>
      <c r="T436" s="657">
        <v>97009</v>
      </c>
      <c r="U436" s="657">
        <v>10970</v>
      </c>
      <c r="V436" s="655">
        <v>2021</v>
      </c>
      <c r="W436" s="659"/>
      <c r="X436" s="660">
        <f t="shared" si="20"/>
        <v>8.8431175934366451</v>
      </c>
      <c r="Y436" s="661" t="str">
        <f t="shared" si="18"/>
        <v/>
      </c>
      <c r="Z436" s="661" t="str">
        <f t="shared" si="19"/>
        <v/>
      </c>
    </row>
    <row r="437" spans="1:26" s="128" customFormat="1">
      <c r="A437" s="655">
        <v>7396</v>
      </c>
      <c r="B437" s="656" t="s">
        <v>33</v>
      </c>
      <c r="C437" s="655" t="s">
        <v>2793</v>
      </c>
      <c r="D437" s="656" t="s">
        <v>754</v>
      </c>
      <c r="E437" s="656" t="s">
        <v>1103</v>
      </c>
      <c r="F437" s="655">
        <v>3477</v>
      </c>
      <c r="G437" s="656" t="s">
        <v>81</v>
      </c>
      <c r="H437" s="656" t="s">
        <v>1183</v>
      </c>
      <c r="I437" s="656" t="s">
        <v>58</v>
      </c>
      <c r="J437" s="655">
        <v>22</v>
      </c>
      <c r="K437" s="655">
        <v>1</v>
      </c>
      <c r="L437" s="656" t="s">
        <v>34</v>
      </c>
      <c r="M437" s="656" t="s">
        <v>51</v>
      </c>
      <c r="N437" s="656" t="s">
        <v>46</v>
      </c>
      <c r="O437" s="656" t="s">
        <v>46</v>
      </c>
      <c r="P437" s="656" t="s">
        <v>47</v>
      </c>
      <c r="Q437" s="657">
        <v>765</v>
      </c>
      <c r="R437" s="657">
        <v>765</v>
      </c>
      <c r="S437" s="657">
        <v>4466</v>
      </c>
      <c r="T437" s="657">
        <v>4466</v>
      </c>
      <c r="U437" s="657">
        <v>427</v>
      </c>
      <c r="V437" s="655">
        <v>2021</v>
      </c>
      <c r="W437" s="659"/>
      <c r="X437" s="660">
        <f t="shared" si="20"/>
        <v>10.459016393442623</v>
      </c>
      <c r="Y437" s="661" t="str">
        <f t="shared" si="18"/>
        <v/>
      </c>
      <c r="Z437" s="661" t="str">
        <f t="shared" si="19"/>
        <v/>
      </c>
    </row>
    <row r="438" spans="1:26" s="128" customFormat="1">
      <c r="A438" s="655">
        <v>7501</v>
      </c>
      <c r="B438" s="656" t="s">
        <v>33</v>
      </c>
      <c r="C438" s="655" t="s">
        <v>2793</v>
      </c>
      <c r="D438" s="656" t="s">
        <v>1104</v>
      </c>
      <c r="E438" s="656" t="s">
        <v>1048</v>
      </c>
      <c r="F438" s="655">
        <v>15371</v>
      </c>
      <c r="G438" s="656" t="s">
        <v>81</v>
      </c>
      <c r="H438" s="656" t="s">
        <v>1183</v>
      </c>
      <c r="I438" s="656" t="s">
        <v>58</v>
      </c>
      <c r="J438" s="655">
        <v>22</v>
      </c>
      <c r="K438" s="655">
        <v>1</v>
      </c>
      <c r="L438" s="656" t="s">
        <v>34</v>
      </c>
      <c r="M438" s="656" t="s">
        <v>71</v>
      </c>
      <c r="N438" s="656" t="s">
        <v>72</v>
      </c>
      <c r="O438" s="656" t="s">
        <v>72</v>
      </c>
      <c r="P438" s="656" t="s">
        <v>1176</v>
      </c>
      <c r="Q438" s="657">
        <v>0</v>
      </c>
      <c r="R438" s="657">
        <v>0</v>
      </c>
      <c r="S438" s="657">
        <v>34657</v>
      </c>
      <c r="T438" s="657">
        <v>34657</v>
      </c>
      <c r="U438" s="657">
        <v>3919</v>
      </c>
      <c r="V438" s="655">
        <v>2021</v>
      </c>
      <c r="W438" s="659"/>
      <c r="X438" s="660">
        <f t="shared" si="20"/>
        <v>8.8433273794335285</v>
      </c>
      <c r="Y438" s="661" t="str">
        <f t="shared" si="18"/>
        <v/>
      </c>
      <c r="Z438" s="661" t="str">
        <f t="shared" si="19"/>
        <v/>
      </c>
    </row>
    <row r="439" spans="1:26" s="128" customFormat="1" ht="25" hidden="1">
      <c r="A439" s="655">
        <v>7583</v>
      </c>
      <c r="B439" s="656" t="s">
        <v>33</v>
      </c>
      <c r="C439" s="655" t="s">
        <v>2793</v>
      </c>
      <c r="D439" s="656" t="s">
        <v>755</v>
      </c>
      <c r="E439" s="656" t="s">
        <v>119</v>
      </c>
      <c r="F439" s="655">
        <v>5914</v>
      </c>
      <c r="G439" s="656" t="s">
        <v>57</v>
      </c>
      <c r="H439" s="656" t="s">
        <v>1182</v>
      </c>
      <c r="I439" s="656" t="s">
        <v>58</v>
      </c>
      <c r="J439" s="655">
        <v>22</v>
      </c>
      <c r="K439" s="655">
        <v>2</v>
      </c>
      <c r="L439" s="656" t="s">
        <v>52</v>
      </c>
      <c r="M439" s="656" t="s">
        <v>35</v>
      </c>
      <c r="N439" s="656" t="s">
        <v>36</v>
      </c>
      <c r="O439" s="656" t="s">
        <v>37</v>
      </c>
      <c r="P439" s="656" t="s">
        <v>1176</v>
      </c>
      <c r="Q439" s="657">
        <v>0</v>
      </c>
      <c r="R439" s="657">
        <v>0</v>
      </c>
      <c r="S439" s="657">
        <v>35938</v>
      </c>
      <c r="T439" s="657">
        <v>35938</v>
      </c>
      <c r="U439" s="657">
        <v>4064</v>
      </c>
      <c r="V439" s="655">
        <v>2021</v>
      </c>
      <c r="W439" s="659"/>
      <c r="X439" s="660">
        <f t="shared" si="20"/>
        <v>8.8430118110236222</v>
      </c>
      <c r="Y439" s="661" t="str">
        <f t="shared" si="18"/>
        <v/>
      </c>
      <c r="Z439" s="661" t="str">
        <f t="shared" si="19"/>
        <v/>
      </c>
    </row>
    <row r="440" spans="1:26" s="128" customFormat="1" ht="25" hidden="1">
      <c r="A440" s="655">
        <v>7784</v>
      </c>
      <c r="B440" s="656" t="s">
        <v>33</v>
      </c>
      <c r="C440" s="655" t="s">
        <v>2793</v>
      </c>
      <c r="D440" s="656" t="s">
        <v>756</v>
      </c>
      <c r="E440" s="656" t="s">
        <v>1593</v>
      </c>
      <c r="F440" s="655">
        <v>58651</v>
      </c>
      <c r="G440" s="656" t="s">
        <v>57</v>
      </c>
      <c r="H440" s="656" t="s">
        <v>1182</v>
      </c>
      <c r="I440" s="656" t="s">
        <v>58</v>
      </c>
      <c r="J440" s="655">
        <v>22</v>
      </c>
      <c r="K440" s="655">
        <v>2</v>
      </c>
      <c r="L440" s="656" t="s">
        <v>52</v>
      </c>
      <c r="M440" s="656" t="s">
        <v>38</v>
      </c>
      <c r="N440" s="656" t="s">
        <v>39</v>
      </c>
      <c r="O440" s="656" t="s">
        <v>39</v>
      </c>
      <c r="P440" s="656" t="s">
        <v>1037</v>
      </c>
      <c r="Q440" s="657">
        <v>4231</v>
      </c>
      <c r="R440" s="657">
        <v>4231</v>
      </c>
      <c r="S440" s="657">
        <v>4357</v>
      </c>
      <c r="T440" s="657">
        <v>4357</v>
      </c>
      <c r="U440" s="657">
        <v>3462</v>
      </c>
      <c r="V440" s="655">
        <v>2021</v>
      </c>
      <c r="W440" s="659"/>
      <c r="X440" s="660">
        <f t="shared" si="20"/>
        <v>1.2585210860774119</v>
      </c>
      <c r="Y440" s="661" t="str">
        <f t="shared" si="18"/>
        <v/>
      </c>
      <c r="Z440" s="661" t="str">
        <f t="shared" si="19"/>
        <v/>
      </c>
    </row>
    <row r="441" spans="1:26" s="128" customFormat="1" ht="25" hidden="1">
      <c r="A441" s="655">
        <v>7784</v>
      </c>
      <c r="B441" s="656" t="s">
        <v>33</v>
      </c>
      <c r="C441" s="655" t="s">
        <v>2793</v>
      </c>
      <c r="D441" s="656" t="s">
        <v>756</v>
      </c>
      <c r="E441" s="656" t="s">
        <v>1593</v>
      </c>
      <c r="F441" s="655">
        <v>58651</v>
      </c>
      <c r="G441" s="656" t="s">
        <v>57</v>
      </c>
      <c r="H441" s="656" t="s">
        <v>1182</v>
      </c>
      <c r="I441" s="656" t="s">
        <v>58</v>
      </c>
      <c r="J441" s="655">
        <v>22</v>
      </c>
      <c r="K441" s="655">
        <v>2</v>
      </c>
      <c r="L441" s="656" t="s">
        <v>52</v>
      </c>
      <c r="M441" s="656" t="s">
        <v>41</v>
      </c>
      <c r="N441" s="656" t="s">
        <v>39</v>
      </c>
      <c r="O441" s="656" t="s">
        <v>39</v>
      </c>
      <c r="P441" s="656" t="s">
        <v>1037</v>
      </c>
      <c r="Q441" s="657">
        <v>118612</v>
      </c>
      <c r="R441" s="657">
        <v>118612</v>
      </c>
      <c r="S441" s="657">
        <v>122171</v>
      </c>
      <c r="T441" s="657">
        <v>122171</v>
      </c>
      <c r="U441" s="657">
        <v>11528</v>
      </c>
      <c r="V441" s="655">
        <v>2021</v>
      </c>
      <c r="W441" s="659"/>
      <c r="X441" s="660">
        <f t="shared" si="20"/>
        <v>10.597761970853574</v>
      </c>
      <c r="Y441" s="661" t="str">
        <f t="shared" si="18"/>
        <v/>
      </c>
      <c r="Z441" s="661" t="str">
        <f t="shared" si="19"/>
        <v/>
      </c>
    </row>
    <row r="442" spans="1:26" s="128" customFormat="1" ht="25" hidden="1">
      <c r="A442" s="655">
        <v>7869</v>
      </c>
      <c r="B442" s="656" t="s">
        <v>33</v>
      </c>
      <c r="C442" s="655" t="s">
        <v>2793</v>
      </c>
      <c r="D442" s="656" t="s">
        <v>757</v>
      </c>
      <c r="E442" s="656" t="s">
        <v>627</v>
      </c>
      <c r="F442" s="655">
        <v>56505</v>
      </c>
      <c r="G442" s="656" t="s">
        <v>57</v>
      </c>
      <c r="H442" s="656" t="s">
        <v>1182</v>
      </c>
      <c r="I442" s="656" t="s">
        <v>58</v>
      </c>
      <c r="J442" s="655">
        <v>22</v>
      </c>
      <c r="K442" s="655">
        <v>1</v>
      </c>
      <c r="L442" s="656" t="s">
        <v>34</v>
      </c>
      <c r="M442" s="656" t="s">
        <v>50</v>
      </c>
      <c r="N442" s="656" t="s">
        <v>46</v>
      </c>
      <c r="O442" s="656" t="s">
        <v>46</v>
      </c>
      <c r="P442" s="656" t="s">
        <v>47</v>
      </c>
      <c r="Q442" s="657">
        <v>0</v>
      </c>
      <c r="R442" s="657">
        <v>0</v>
      </c>
      <c r="S442" s="657">
        <v>0</v>
      </c>
      <c r="T442" s="657">
        <v>0</v>
      </c>
      <c r="U442" s="657">
        <v>0</v>
      </c>
      <c r="V442" s="655">
        <v>2021</v>
      </c>
      <c r="W442" s="659" t="s">
        <v>3675</v>
      </c>
      <c r="X442" s="660" t="str">
        <f t="shared" si="20"/>
        <v/>
      </c>
      <c r="Y442" s="661" t="str">
        <f t="shared" si="18"/>
        <v/>
      </c>
      <c r="Z442" s="661" t="str">
        <f t="shared" si="19"/>
        <v/>
      </c>
    </row>
    <row r="443" spans="1:26" s="128" customFormat="1" ht="25" hidden="1">
      <c r="A443" s="655">
        <v>7869</v>
      </c>
      <c r="B443" s="656" t="s">
        <v>33</v>
      </c>
      <c r="C443" s="655" t="s">
        <v>2793</v>
      </c>
      <c r="D443" s="656" t="s">
        <v>757</v>
      </c>
      <c r="E443" s="656" t="s">
        <v>627</v>
      </c>
      <c r="F443" s="655">
        <v>56505</v>
      </c>
      <c r="G443" s="656" t="s">
        <v>57</v>
      </c>
      <c r="H443" s="656" t="s">
        <v>1182</v>
      </c>
      <c r="I443" s="656" t="s">
        <v>58</v>
      </c>
      <c r="J443" s="655">
        <v>22</v>
      </c>
      <c r="K443" s="655">
        <v>1</v>
      </c>
      <c r="L443" s="656" t="s">
        <v>34</v>
      </c>
      <c r="M443" s="656" t="s">
        <v>50</v>
      </c>
      <c r="N443" s="656" t="s">
        <v>76</v>
      </c>
      <c r="O443" s="656" t="s">
        <v>67</v>
      </c>
      <c r="P443" s="656" t="s">
        <v>47</v>
      </c>
      <c r="Q443" s="657">
        <v>2606</v>
      </c>
      <c r="R443" s="657">
        <v>2606</v>
      </c>
      <c r="S443" s="657">
        <v>14788</v>
      </c>
      <c r="T443" s="657">
        <v>14788</v>
      </c>
      <c r="U443" s="657">
        <v>1447.271</v>
      </c>
      <c r="V443" s="655">
        <v>2021</v>
      </c>
      <c r="W443" s="659" t="s">
        <v>3675</v>
      </c>
      <c r="X443" s="660">
        <f t="shared" si="20"/>
        <v>10.217851390651786</v>
      </c>
      <c r="Y443" s="661" t="str">
        <f t="shared" si="18"/>
        <v/>
      </c>
      <c r="Z443" s="661" t="str">
        <f t="shared" si="19"/>
        <v/>
      </c>
    </row>
    <row r="444" spans="1:26" s="128" customFormat="1" ht="25" hidden="1">
      <c r="A444" s="655">
        <v>7869</v>
      </c>
      <c r="B444" s="656" t="s">
        <v>33</v>
      </c>
      <c r="C444" s="655" t="s">
        <v>2793</v>
      </c>
      <c r="D444" s="656" t="s">
        <v>757</v>
      </c>
      <c r="E444" s="656" t="s">
        <v>627</v>
      </c>
      <c r="F444" s="655">
        <v>56505</v>
      </c>
      <c r="G444" s="656" t="s">
        <v>57</v>
      </c>
      <c r="H444" s="656" t="s">
        <v>1182</v>
      </c>
      <c r="I444" s="656" t="s">
        <v>58</v>
      </c>
      <c r="J444" s="655">
        <v>22</v>
      </c>
      <c r="K444" s="655">
        <v>1</v>
      </c>
      <c r="L444" s="656" t="s">
        <v>34</v>
      </c>
      <c r="M444" s="656" t="s">
        <v>50</v>
      </c>
      <c r="N444" s="656" t="s">
        <v>39</v>
      </c>
      <c r="O444" s="656" t="s">
        <v>39</v>
      </c>
      <c r="P444" s="656" t="s">
        <v>1037</v>
      </c>
      <c r="Q444" s="657">
        <v>1410299</v>
      </c>
      <c r="R444" s="657">
        <v>1410299</v>
      </c>
      <c r="S444" s="657">
        <v>1451198</v>
      </c>
      <c r="T444" s="657">
        <v>1451198</v>
      </c>
      <c r="U444" s="657">
        <v>142015.73000000001</v>
      </c>
      <c r="V444" s="655">
        <v>2021</v>
      </c>
      <c r="W444" s="659" t="s">
        <v>3675</v>
      </c>
      <c r="X444" s="660">
        <f t="shared" si="20"/>
        <v>10.218572266607367</v>
      </c>
      <c r="Y444" s="661" t="str">
        <f t="shared" si="18"/>
        <v/>
      </c>
      <c r="Z444" s="661" t="str">
        <f t="shared" si="19"/>
        <v/>
      </c>
    </row>
    <row r="445" spans="1:26" s="128" customFormat="1" hidden="1">
      <c r="A445" s="655">
        <v>7909</v>
      </c>
      <c r="B445" s="656" t="s">
        <v>33</v>
      </c>
      <c r="C445" s="655" t="s">
        <v>2793</v>
      </c>
      <c r="D445" s="656" t="s">
        <v>28</v>
      </c>
      <c r="E445" s="656" t="s">
        <v>56</v>
      </c>
      <c r="F445" s="655">
        <v>15296</v>
      </c>
      <c r="G445" s="656" t="s">
        <v>57</v>
      </c>
      <c r="H445" s="656" t="s">
        <v>1182</v>
      </c>
      <c r="I445" s="656" t="s">
        <v>58</v>
      </c>
      <c r="J445" s="655">
        <v>22</v>
      </c>
      <c r="K445" s="655">
        <v>1</v>
      </c>
      <c r="L445" s="656" t="s">
        <v>34</v>
      </c>
      <c r="M445" s="656" t="s">
        <v>50</v>
      </c>
      <c r="N445" s="656" t="s">
        <v>39</v>
      </c>
      <c r="O445" s="656" t="s">
        <v>39</v>
      </c>
      <c r="P445" s="656" t="s">
        <v>1037</v>
      </c>
      <c r="Q445" s="657">
        <v>925146</v>
      </c>
      <c r="R445" s="657">
        <v>925146</v>
      </c>
      <c r="S445" s="657">
        <v>956602</v>
      </c>
      <c r="T445" s="657">
        <v>956602</v>
      </c>
      <c r="U445" s="657">
        <v>86136.998999999996</v>
      </c>
      <c r="V445" s="655">
        <v>2021</v>
      </c>
      <c r="W445" s="659" t="s">
        <v>3675</v>
      </c>
      <c r="X445" s="660">
        <f t="shared" si="20"/>
        <v>11.105587739363894</v>
      </c>
      <c r="Y445" s="661" t="str">
        <f t="shared" si="18"/>
        <v/>
      </c>
      <c r="Z445" s="661" t="str">
        <f t="shared" si="19"/>
        <v/>
      </c>
    </row>
    <row r="446" spans="1:26" s="128" customFormat="1" ht="25" hidden="1">
      <c r="A446" s="655">
        <v>7910</v>
      </c>
      <c r="B446" s="656" t="s">
        <v>33</v>
      </c>
      <c r="C446" s="655" t="s">
        <v>2793</v>
      </c>
      <c r="D446" s="656" t="s">
        <v>1049</v>
      </c>
      <c r="E446" s="656" t="s">
        <v>56</v>
      </c>
      <c r="F446" s="655">
        <v>15296</v>
      </c>
      <c r="G446" s="656" t="s">
        <v>57</v>
      </c>
      <c r="H446" s="656" t="s">
        <v>1182</v>
      </c>
      <c r="I446" s="656" t="s">
        <v>58</v>
      </c>
      <c r="J446" s="655">
        <v>22</v>
      </c>
      <c r="K446" s="655">
        <v>1</v>
      </c>
      <c r="L446" s="656" t="s">
        <v>34</v>
      </c>
      <c r="M446" s="656" t="s">
        <v>50</v>
      </c>
      <c r="N446" s="656" t="s">
        <v>39</v>
      </c>
      <c r="O446" s="656" t="s">
        <v>39</v>
      </c>
      <c r="P446" s="656" t="s">
        <v>1037</v>
      </c>
      <c r="Q446" s="657">
        <v>814711</v>
      </c>
      <c r="R446" s="657">
        <v>814711</v>
      </c>
      <c r="S446" s="657">
        <v>844041</v>
      </c>
      <c r="T446" s="657">
        <v>844041</v>
      </c>
      <c r="U446" s="657">
        <v>76406.001000000004</v>
      </c>
      <c r="V446" s="655">
        <v>2021</v>
      </c>
      <c r="W446" s="659" t="s">
        <v>3675</v>
      </c>
      <c r="X446" s="660">
        <f t="shared" si="20"/>
        <v>11.046789374567581</v>
      </c>
      <c r="Y446" s="661" t="str">
        <f t="shared" si="18"/>
        <v/>
      </c>
      <c r="Z446" s="661" t="str">
        <f t="shared" si="19"/>
        <v/>
      </c>
    </row>
    <row r="447" spans="1:26" s="128" customFormat="1" hidden="1">
      <c r="A447" s="655">
        <v>7912</v>
      </c>
      <c r="B447" s="656" t="s">
        <v>33</v>
      </c>
      <c r="C447" s="655" t="s">
        <v>2793</v>
      </c>
      <c r="D447" s="656" t="s">
        <v>29</v>
      </c>
      <c r="E447" s="656" t="s">
        <v>56</v>
      </c>
      <c r="F447" s="655">
        <v>15296</v>
      </c>
      <c r="G447" s="656" t="s">
        <v>57</v>
      </c>
      <c r="H447" s="656" t="s">
        <v>1182</v>
      </c>
      <c r="I447" s="656" t="s">
        <v>58</v>
      </c>
      <c r="J447" s="655">
        <v>22</v>
      </c>
      <c r="K447" s="655">
        <v>1</v>
      </c>
      <c r="L447" s="656" t="s">
        <v>34</v>
      </c>
      <c r="M447" s="656" t="s">
        <v>50</v>
      </c>
      <c r="N447" s="656" t="s">
        <v>39</v>
      </c>
      <c r="O447" s="656" t="s">
        <v>39</v>
      </c>
      <c r="P447" s="656" t="s">
        <v>1037</v>
      </c>
      <c r="Q447" s="657">
        <v>653249</v>
      </c>
      <c r="R447" s="657">
        <v>653249</v>
      </c>
      <c r="S447" s="657">
        <v>673499</v>
      </c>
      <c r="T447" s="657">
        <v>673499</v>
      </c>
      <c r="U447" s="657">
        <v>62629.000999999997</v>
      </c>
      <c r="V447" s="655">
        <v>2021</v>
      </c>
      <c r="W447" s="659" t="s">
        <v>3675</v>
      </c>
      <c r="X447" s="660">
        <f t="shared" si="20"/>
        <v>10.75378800948781</v>
      </c>
      <c r="Y447" s="661" t="str">
        <f t="shared" si="18"/>
        <v/>
      </c>
      <c r="Z447" s="661" t="str">
        <f t="shared" si="19"/>
        <v/>
      </c>
    </row>
    <row r="448" spans="1:26" s="128" customFormat="1" hidden="1">
      <c r="A448" s="655">
        <v>7913</v>
      </c>
      <c r="B448" s="656" t="s">
        <v>33</v>
      </c>
      <c r="C448" s="655" t="s">
        <v>2793</v>
      </c>
      <c r="D448" s="656" t="s">
        <v>30</v>
      </c>
      <c r="E448" s="656" t="s">
        <v>56</v>
      </c>
      <c r="F448" s="655">
        <v>15296</v>
      </c>
      <c r="G448" s="656" t="s">
        <v>57</v>
      </c>
      <c r="H448" s="656" t="s">
        <v>1182</v>
      </c>
      <c r="I448" s="656" t="s">
        <v>58</v>
      </c>
      <c r="J448" s="655">
        <v>22</v>
      </c>
      <c r="K448" s="655">
        <v>1</v>
      </c>
      <c r="L448" s="656" t="s">
        <v>34</v>
      </c>
      <c r="M448" s="656" t="s">
        <v>50</v>
      </c>
      <c r="N448" s="656" t="s">
        <v>39</v>
      </c>
      <c r="O448" s="656" t="s">
        <v>39</v>
      </c>
      <c r="P448" s="656" t="s">
        <v>1037</v>
      </c>
      <c r="Q448" s="657">
        <v>759828</v>
      </c>
      <c r="R448" s="657">
        <v>759828</v>
      </c>
      <c r="S448" s="657">
        <v>781102</v>
      </c>
      <c r="T448" s="657">
        <v>781102</v>
      </c>
      <c r="U448" s="657">
        <v>70307</v>
      </c>
      <c r="V448" s="655">
        <v>2021</v>
      </c>
      <c r="W448" s="659" t="s">
        <v>3675</v>
      </c>
      <c r="X448" s="660">
        <f t="shared" si="20"/>
        <v>11.109875261353777</v>
      </c>
      <c r="Y448" s="661" t="str">
        <f t="shared" si="18"/>
        <v/>
      </c>
      <c r="Z448" s="661" t="str">
        <f t="shared" si="19"/>
        <v/>
      </c>
    </row>
    <row r="449" spans="1:26" s="128" customFormat="1" hidden="1">
      <c r="A449" s="655">
        <v>7914</v>
      </c>
      <c r="B449" s="656" t="s">
        <v>33</v>
      </c>
      <c r="C449" s="655" t="s">
        <v>2793</v>
      </c>
      <c r="D449" s="656" t="s">
        <v>31</v>
      </c>
      <c r="E449" s="656" t="s">
        <v>56</v>
      </c>
      <c r="F449" s="655">
        <v>15296</v>
      </c>
      <c r="G449" s="656" t="s">
        <v>57</v>
      </c>
      <c r="H449" s="656" t="s">
        <v>1182</v>
      </c>
      <c r="I449" s="656" t="s">
        <v>58</v>
      </c>
      <c r="J449" s="655">
        <v>22</v>
      </c>
      <c r="K449" s="655">
        <v>1</v>
      </c>
      <c r="L449" s="656" t="s">
        <v>34</v>
      </c>
      <c r="M449" s="656" t="s">
        <v>50</v>
      </c>
      <c r="N449" s="656" t="s">
        <v>39</v>
      </c>
      <c r="O449" s="656" t="s">
        <v>39</v>
      </c>
      <c r="P449" s="656" t="s">
        <v>1037</v>
      </c>
      <c r="Q449" s="657">
        <v>761641</v>
      </c>
      <c r="R449" s="657">
        <v>761641</v>
      </c>
      <c r="S449" s="657">
        <v>782967</v>
      </c>
      <c r="T449" s="657">
        <v>782967</v>
      </c>
      <c r="U449" s="657">
        <v>69760</v>
      </c>
      <c r="V449" s="655">
        <v>2021</v>
      </c>
      <c r="W449" s="659" t="s">
        <v>3675</v>
      </c>
      <c r="X449" s="660">
        <f t="shared" si="20"/>
        <v>11.223724197247707</v>
      </c>
      <c r="Y449" s="661" t="str">
        <f t="shared" si="18"/>
        <v/>
      </c>
      <c r="Z449" s="661" t="str">
        <f t="shared" si="19"/>
        <v/>
      </c>
    </row>
    <row r="450" spans="1:26" s="128" customFormat="1" hidden="1">
      <c r="A450" s="655">
        <v>7915</v>
      </c>
      <c r="B450" s="656" t="s">
        <v>33</v>
      </c>
      <c r="C450" s="655" t="s">
        <v>2793</v>
      </c>
      <c r="D450" s="656" t="s">
        <v>32</v>
      </c>
      <c r="E450" s="656" t="s">
        <v>56</v>
      </c>
      <c r="F450" s="655">
        <v>15296</v>
      </c>
      <c r="G450" s="656" t="s">
        <v>57</v>
      </c>
      <c r="H450" s="656" t="s">
        <v>1182</v>
      </c>
      <c r="I450" s="656" t="s">
        <v>58</v>
      </c>
      <c r="J450" s="655">
        <v>22</v>
      </c>
      <c r="K450" s="655">
        <v>1</v>
      </c>
      <c r="L450" s="656" t="s">
        <v>34</v>
      </c>
      <c r="M450" s="656" t="s">
        <v>50</v>
      </c>
      <c r="N450" s="656" t="s">
        <v>39</v>
      </c>
      <c r="O450" s="656" t="s">
        <v>39</v>
      </c>
      <c r="P450" s="656" t="s">
        <v>1037</v>
      </c>
      <c r="Q450" s="657">
        <v>360523</v>
      </c>
      <c r="R450" s="657">
        <v>360523</v>
      </c>
      <c r="S450" s="657">
        <v>373500</v>
      </c>
      <c r="T450" s="657">
        <v>373500</v>
      </c>
      <c r="U450" s="657">
        <v>33717.000999999997</v>
      </c>
      <c r="V450" s="655">
        <v>2021</v>
      </c>
      <c r="W450" s="659" t="s">
        <v>3675</v>
      </c>
      <c r="X450" s="660">
        <f t="shared" si="20"/>
        <v>11.077497669499136</v>
      </c>
      <c r="Y450" s="661" t="str">
        <f t="shared" si="18"/>
        <v/>
      </c>
      <c r="Z450" s="661" t="str">
        <f t="shared" si="19"/>
        <v/>
      </c>
    </row>
    <row r="451" spans="1:26" s="128" customFormat="1" hidden="1">
      <c r="A451" s="655">
        <v>8002</v>
      </c>
      <c r="B451" s="656" t="s">
        <v>33</v>
      </c>
      <c r="C451" s="655" t="s">
        <v>2793</v>
      </c>
      <c r="D451" s="656" t="s">
        <v>146</v>
      </c>
      <c r="E451" s="656" t="s">
        <v>2314</v>
      </c>
      <c r="F451" s="655">
        <v>62032</v>
      </c>
      <c r="G451" s="656" t="s">
        <v>96</v>
      </c>
      <c r="H451" s="656" t="s">
        <v>1183</v>
      </c>
      <c r="I451" s="656" t="s">
        <v>58</v>
      </c>
      <c r="J451" s="655">
        <v>22</v>
      </c>
      <c r="K451" s="655">
        <v>2</v>
      </c>
      <c r="L451" s="656" t="s">
        <v>52</v>
      </c>
      <c r="M451" s="656" t="s">
        <v>42</v>
      </c>
      <c r="N451" s="656" t="s">
        <v>46</v>
      </c>
      <c r="O451" s="656" t="s">
        <v>46</v>
      </c>
      <c r="P451" s="656" t="s">
        <v>47</v>
      </c>
      <c r="Q451" s="657">
        <v>1649</v>
      </c>
      <c r="R451" s="657">
        <v>1649</v>
      </c>
      <c r="S451" s="657">
        <v>9561</v>
      </c>
      <c r="T451" s="657">
        <v>9561</v>
      </c>
      <c r="U451" s="657">
        <v>658.601</v>
      </c>
      <c r="V451" s="655">
        <v>2021</v>
      </c>
      <c r="W451" s="659" t="s">
        <v>3675</v>
      </c>
      <c r="X451" s="660">
        <f t="shared" si="20"/>
        <v>14.51713556462866</v>
      </c>
      <c r="Y451" s="661" t="str">
        <f t="shared" si="18"/>
        <v/>
      </c>
      <c r="Z451" s="661" t="str">
        <f t="shared" si="19"/>
        <v/>
      </c>
    </row>
    <row r="452" spans="1:26" s="128" customFormat="1" hidden="1">
      <c r="A452" s="655">
        <v>8002</v>
      </c>
      <c r="B452" s="656" t="s">
        <v>33</v>
      </c>
      <c r="C452" s="655" t="s">
        <v>2793</v>
      </c>
      <c r="D452" s="656" t="s">
        <v>146</v>
      </c>
      <c r="E452" s="656" t="s">
        <v>2314</v>
      </c>
      <c r="F452" s="655">
        <v>62032</v>
      </c>
      <c r="G452" s="656" t="s">
        <v>96</v>
      </c>
      <c r="H452" s="656" t="s">
        <v>1183</v>
      </c>
      <c r="I452" s="656" t="s">
        <v>58</v>
      </c>
      <c r="J452" s="655">
        <v>22</v>
      </c>
      <c r="K452" s="655">
        <v>2</v>
      </c>
      <c r="L452" s="656" t="s">
        <v>52</v>
      </c>
      <c r="M452" s="656" t="s">
        <v>42</v>
      </c>
      <c r="N452" s="656" t="s">
        <v>39</v>
      </c>
      <c r="O452" s="656" t="s">
        <v>39</v>
      </c>
      <c r="P452" s="656" t="s">
        <v>1037</v>
      </c>
      <c r="Q452" s="657">
        <v>588929</v>
      </c>
      <c r="R452" s="657">
        <v>588929</v>
      </c>
      <c r="S452" s="657">
        <v>612782</v>
      </c>
      <c r="T452" s="657">
        <v>612782</v>
      </c>
      <c r="U452" s="657">
        <v>44880.521000000001</v>
      </c>
      <c r="V452" s="655">
        <v>2021</v>
      </c>
      <c r="W452" s="659" t="s">
        <v>3675</v>
      </c>
      <c r="X452" s="660">
        <f t="shared" si="20"/>
        <v>13.653629377430802</v>
      </c>
      <c r="Y452" s="661" t="str">
        <f t="shared" si="18"/>
        <v/>
      </c>
      <c r="Z452" s="661" t="str">
        <f t="shared" si="19"/>
        <v/>
      </c>
    </row>
    <row r="453" spans="1:26" s="128" customFormat="1" hidden="1">
      <c r="A453" s="655">
        <v>8002</v>
      </c>
      <c r="B453" s="656" t="s">
        <v>33</v>
      </c>
      <c r="C453" s="655" t="s">
        <v>2793</v>
      </c>
      <c r="D453" s="656" t="s">
        <v>146</v>
      </c>
      <c r="E453" s="656" t="s">
        <v>2314</v>
      </c>
      <c r="F453" s="655">
        <v>62032</v>
      </c>
      <c r="G453" s="656" t="s">
        <v>96</v>
      </c>
      <c r="H453" s="656" t="s">
        <v>1183</v>
      </c>
      <c r="I453" s="656" t="s">
        <v>58</v>
      </c>
      <c r="J453" s="655">
        <v>22</v>
      </c>
      <c r="K453" s="655">
        <v>2</v>
      </c>
      <c r="L453" s="656" t="s">
        <v>52</v>
      </c>
      <c r="M453" s="656" t="s">
        <v>42</v>
      </c>
      <c r="N453" s="656" t="s">
        <v>61</v>
      </c>
      <c r="O453" s="656" t="s">
        <v>61</v>
      </c>
      <c r="P453" s="656" t="s">
        <v>47</v>
      </c>
      <c r="Q453" s="657">
        <v>27738</v>
      </c>
      <c r="R453" s="657">
        <v>27738</v>
      </c>
      <c r="S453" s="657">
        <v>174750</v>
      </c>
      <c r="T453" s="657">
        <v>174750</v>
      </c>
      <c r="U453" s="657">
        <v>12987.878000000001</v>
      </c>
      <c r="V453" s="655">
        <v>2021</v>
      </c>
      <c r="W453" s="659" t="s">
        <v>3675</v>
      </c>
      <c r="X453" s="660">
        <f t="shared" si="20"/>
        <v>13.454853826006065</v>
      </c>
      <c r="Y453" s="661" t="str">
        <f t="shared" si="18"/>
        <v/>
      </c>
      <c r="Z453" s="661" t="str">
        <f t="shared" si="19"/>
        <v/>
      </c>
    </row>
    <row r="454" spans="1:26" s="128" customFormat="1" ht="25">
      <c r="A454" s="655">
        <v>8004</v>
      </c>
      <c r="B454" s="656" t="s">
        <v>33</v>
      </c>
      <c r="C454" s="655" t="s">
        <v>2793</v>
      </c>
      <c r="D454" s="656" t="s">
        <v>758</v>
      </c>
      <c r="E454" s="656" t="s">
        <v>1192</v>
      </c>
      <c r="F454" s="655">
        <v>54765</v>
      </c>
      <c r="G454" s="656" t="s">
        <v>81</v>
      </c>
      <c r="H454" s="656" t="s">
        <v>1183</v>
      </c>
      <c r="I454" s="656" t="s">
        <v>58</v>
      </c>
      <c r="J454" s="655">
        <v>22</v>
      </c>
      <c r="K454" s="655">
        <v>2</v>
      </c>
      <c r="L454" s="656" t="s">
        <v>52</v>
      </c>
      <c r="M454" s="656" t="s">
        <v>35</v>
      </c>
      <c r="N454" s="656" t="s">
        <v>36</v>
      </c>
      <c r="O454" s="656" t="s">
        <v>37</v>
      </c>
      <c r="P454" s="656" t="s">
        <v>1176</v>
      </c>
      <c r="Q454" s="657">
        <v>0</v>
      </c>
      <c r="R454" s="657">
        <v>0</v>
      </c>
      <c r="S454" s="657">
        <v>284674</v>
      </c>
      <c r="T454" s="657">
        <v>284674</v>
      </c>
      <c r="U454" s="657">
        <v>32192</v>
      </c>
      <c r="V454" s="655">
        <v>2021</v>
      </c>
      <c r="W454" s="659"/>
      <c r="X454" s="660">
        <f t="shared" si="20"/>
        <v>8.8430044731610344</v>
      </c>
      <c r="Y454" s="661" t="str">
        <f t="shared" si="18"/>
        <v/>
      </c>
      <c r="Z454" s="661" t="str">
        <f t="shared" si="19"/>
        <v/>
      </c>
    </row>
    <row r="455" spans="1:26" s="128" customFormat="1" ht="25">
      <c r="A455" s="655">
        <v>8005</v>
      </c>
      <c r="B455" s="656" t="s">
        <v>33</v>
      </c>
      <c r="C455" s="655" t="s">
        <v>2793</v>
      </c>
      <c r="D455" s="656" t="s">
        <v>148</v>
      </c>
      <c r="E455" s="656" t="s">
        <v>1192</v>
      </c>
      <c r="F455" s="655">
        <v>54765</v>
      </c>
      <c r="G455" s="656" t="s">
        <v>81</v>
      </c>
      <c r="H455" s="656" t="s">
        <v>1183</v>
      </c>
      <c r="I455" s="656" t="s">
        <v>58</v>
      </c>
      <c r="J455" s="655">
        <v>22</v>
      </c>
      <c r="K455" s="655">
        <v>2</v>
      </c>
      <c r="L455" s="656" t="s">
        <v>52</v>
      </c>
      <c r="M455" s="656" t="s">
        <v>59</v>
      </c>
      <c r="N455" s="656" t="s">
        <v>36</v>
      </c>
      <c r="O455" s="656" t="s">
        <v>60</v>
      </c>
      <c r="P455" s="656" t="s">
        <v>2794</v>
      </c>
      <c r="Q455" s="657">
        <v>573333</v>
      </c>
      <c r="R455" s="657">
        <v>573333</v>
      </c>
      <c r="S455" s="657">
        <v>0</v>
      </c>
      <c r="T455" s="657">
        <v>0</v>
      </c>
      <c r="U455" s="657">
        <v>-150724</v>
      </c>
      <c r="V455" s="655">
        <v>2021</v>
      </c>
      <c r="W455" s="659"/>
      <c r="X455" s="660" t="str">
        <f t="shared" si="20"/>
        <v/>
      </c>
      <c r="Y455" s="661" t="str">
        <f t="shared" ref="Y455:Y518" si="21">IF(AND($M455=$Y$2,$N455=$Y$3,NOT($Q455=$R455),NOT($U455=0)),IF($K455=5,$S455/($U455+(8/5)*$U455),IF($K455=7,$S455/($U455+(29/25)*$U455),"")),"")</f>
        <v/>
      </c>
      <c r="Z455" s="661" t="str">
        <f t="shared" ref="Z455:Z518" si="22">IF(AND($M455=$Y$2,$N455=$Y$4,NOT($Q455=$R455),NOT($U455=0)),IF($K455=5,$S455/($U455+(8/5)*$U455),IF($K455=7,$S455/($U455+(29/25)*$U455),"")),"")</f>
        <v/>
      </c>
    </row>
    <row r="456" spans="1:26" s="128" customFormat="1" hidden="1">
      <c r="A456" s="655">
        <v>8006</v>
      </c>
      <c r="B456" s="656" t="s">
        <v>33</v>
      </c>
      <c r="C456" s="655" t="s">
        <v>2793</v>
      </c>
      <c r="D456" s="656" t="s">
        <v>1193</v>
      </c>
      <c r="E456" s="656" t="s">
        <v>1169</v>
      </c>
      <c r="F456" s="655">
        <v>5511</v>
      </c>
      <c r="G456" s="656" t="s">
        <v>57</v>
      </c>
      <c r="H456" s="656" t="s">
        <v>1182</v>
      </c>
      <c r="I456" s="656" t="s">
        <v>58</v>
      </c>
      <c r="J456" s="655">
        <v>22</v>
      </c>
      <c r="K456" s="655">
        <v>2</v>
      </c>
      <c r="L456" s="656" t="s">
        <v>52</v>
      </c>
      <c r="M456" s="656" t="s">
        <v>42</v>
      </c>
      <c r="N456" s="656" t="s">
        <v>46</v>
      </c>
      <c r="O456" s="656" t="s">
        <v>46</v>
      </c>
      <c r="P456" s="656" t="s">
        <v>47</v>
      </c>
      <c r="Q456" s="657">
        <v>0</v>
      </c>
      <c r="R456" s="657">
        <v>0</v>
      </c>
      <c r="S456" s="657">
        <v>0</v>
      </c>
      <c r="T456" s="657">
        <v>0</v>
      </c>
      <c r="U456" s="657">
        <v>0</v>
      </c>
      <c r="V456" s="655">
        <v>2021</v>
      </c>
      <c r="W456" s="659" t="s">
        <v>3675</v>
      </c>
      <c r="X456" s="660" t="str">
        <f t="shared" ref="X456:X519" si="23">IF(OR(K456&gt;3,T456=0,NOT(U456&gt;0)),"",T456/U456)</f>
        <v/>
      </c>
      <c r="Y456" s="661" t="str">
        <f t="shared" si="21"/>
        <v/>
      </c>
      <c r="Z456" s="661" t="str">
        <f t="shared" si="22"/>
        <v/>
      </c>
    </row>
    <row r="457" spans="1:26" s="128" customFormat="1" hidden="1">
      <c r="A457" s="655">
        <v>8006</v>
      </c>
      <c r="B457" s="656" t="s">
        <v>33</v>
      </c>
      <c r="C457" s="655" t="s">
        <v>2793</v>
      </c>
      <c r="D457" s="656" t="s">
        <v>1193</v>
      </c>
      <c r="E457" s="656" t="s">
        <v>1169</v>
      </c>
      <c r="F457" s="655">
        <v>5511</v>
      </c>
      <c r="G457" s="656" t="s">
        <v>57</v>
      </c>
      <c r="H457" s="656" t="s">
        <v>1182</v>
      </c>
      <c r="I457" s="656" t="s">
        <v>58</v>
      </c>
      <c r="J457" s="655">
        <v>22</v>
      </c>
      <c r="K457" s="655">
        <v>2</v>
      </c>
      <c r="L457" s="656" t="s">
        <v>52</v>
      </c>
      <c r="M457" s="656" t="s">
        <v>42</v>
      </c>
      <c r="N457" s="656" t="s">
        <v>39</v>
      </c>
      <c r="O457" s="656" t="s">
        <v>39</v>
      </c>
      <c r="P457" s="656" t="s">
        <v>1037</v>
      </c>
      <c r="Q457" s="657">
        <v>1506549</v>
      </c>
      <c r="R457" s="657">
        <v>1506549</v>
      </c>
      <c r="S457" s="657">
        <v>1521616</v>
      </c>
      <c r="T457" s="657">
        <v>1521616</v>
      </c>
      <c r="U457" s="657">
        <v>128129.32</v>
      </c>
      <c r="V457" s="655">
        <v>2021</v>
      </c>
      <c r="W457" s="659" t="s">
        <v>3675</v>
      </c>
      <c r="X457" s="660">
        <f t="shared" si="23"/>
        <v>11.875626905691842</v>
      </c>
      <c r="Y457" s="661" t="str">
        <f t="shared" si="21"/>
        <v/>
      </c>
      <c r="Z457" s="661" t="str">
        <f t="shared" si="22"/>
        <v/>
      </c>
    </row>
    <row r="458" spans="1:26" s="128" customFormat="1" hidden="1">
      <c r="A458" s="655">
        <v>8006</v>
      </c>
      <c r="B458" s="656" t="s">
        <v>33</v>
      </c>
      <c r="C458" s="655" t="s">
        <v>2793</v>
      </c>
      <c r="D458" s="656" t="s">
        <v>1193</v>
      </c>
      <c r="E458" s="656" t="s">
        <v>1169</v>
      </c>
      <c r="F458" s="655">
        <v>5511</v>
      </c>
      <c r="G458" s="656" t="s">
        <v>57</v>
      </c>
      <c r="H458" s="656" t="s">
        <v>1182</v>
      </c>
      <c r="I458" s="656" t="s">
        <v>58</v>
      </c>
      <c r="J458" s="655">
        <v>22</v>
      </c>
      <c r="K458" s="655">
        <v>2</v>
      </c>
      <c r="L458" s="656" t="s">
        <v>52</v>
      </c>
      <c r="M458" s="656" t="s">
        <v>42</v>
      </c>
      <c r="N458" s="656" t="s">
        <v>61</v>
      </c>
      <c r="O458" s="656" t="s">
        <v>61</v>
      </c>
      <c r="P458" s="656" t="s">
        <v>47</v>
      </c>
      <c r="Q458" s="657">
        <v>19758</v>
      </c>
      <c r="R458" s="657">
        <v>19758</v>
      </c>
      <c r="S458" s="657">
        <v>126617</v>
      </c>
      <c r="T458" s="657">
        <v>126617</v>
      </c>
      <c r="U458" s="657">
        <v>10730.682000000001</v>
      </c>
      <c r="V458" s="655">
        <v>2021</v>
      </c>
      <c r="W458" s="659" t="s">
        <v>3675</v>
      </c>
      <c r="X458" s="660">
        <f t="shared" si="23"/>
        <v>11.799529610513105</v>
      </c>
      <c r="Y458" s="661" t="str">
        <f t="shared" si="21"/>
        <v/>
      </c>
      <c r="Z458" s="661" t="str">
        <f t="shared" si="22"/>
        <v/>
      </c>
    </row>
    <row r="459" spans="1:26" s="128" customFormat="1" ht="25" hidden="1">
      <c r="A459" s="655">
        <v>8007</v>
      </c>
      <c r="B459" s="656" t="s">
        <v>33</v>
      </c>
      <c r="C459" s="655" t="s">
        <v>2793</v>
      </c>
      <c r="D459" s="656" t="s">
        <v>149</v>
      </c>
      <c r="E459" s="656" t="s">
        <v>627</v>
      </c>
      <c r="F459" s="655">
        <v>56505</v>
      </c>
      <c r="G459" s="656" t="s">
        <v>57</v>
      </c>
      <c r="H459" s="656" t="s">
        <v>1182</v>
      </c>
      <c r="I459" s="656" t="s">
        <v>58</v>
      </c>
      <c r="J459" s="655">
        <v>22</v>
      </c>
      <c r="K459" s="655">
        <v>1</v>
      </c>
      <c r="L459" s="656" t="s">
        <v>34</v>
      </c>
      <c r="M459" s="656" t="s">
        <v>50</v>
      </c>
      <c r="N459" s="656" t="s">
        <v>46</v>
      </c>
      <c r="O459" s="656" t="s">
        <v>46</v>
      </c>
      <c r="P459" s="656" t="s">
        <v>47</v>
      </c>
      <c r="Q459" s="657">
        <v>0</v>
      </c>
      <c r="R459" s="657">
        <v>0</v>
      </c>
      <c r="S459" s="657">
        <v>0</v>
      </c>
      <c r="T459" s="657">
        <v>0</v>
      </c>
      <c r="U459" s="657">
        <v>0</v>
      </c>
      <c r="V459" s="655">
        <v>2021</v>
      </c>
      <c r="W459" s="659" t="s">
        <v>3675</v>
      </c>
      <c r="X459" s="660" t="str">
        <f t="shared" si="23"/>
        <v/>
      </c>
      <c r="Y459" s="661" t="str">
        <f t="shared" si="21"/>
        <v/>
      </c>
      <c r="Z459" s="661" t="str">
        <f t="shared" si="22"/>
        <v/>
      </c>
    </row>
    <row r="460" spans="1:26" s="128" customFormat="1" ht="25" hidden="1">
      <c r="A460" s="655">
        <v>8007</v>
      </c>
      <c r="B460" s="656" t="s">
        <v>33</v>
      </c>
      <c r="C460" s="655" t="s">
        <v>2793</v>
      </c>
      <c r="D460" s="656" t="s">
        <v>149</v>
      </c>
      <c r="E460" s="656" t="s">
        <v>627</v>
      </c>
      <c r="F460" s="655">
        <v>56505</v>
      </c>
      <c r="G460" s="656" t="s">
        <v>57</v>
      </c>
      <c r="H460" s="656" t="s">
        <v>1182</v>
      </c>
      <c r="I460" s="656" t="s">
        <v>58</v>
      </c>
      <c r="J460" s="655">
        <v>22</v>
      </c>
      <c r="K460" s="655">
        <v>1</v>
      </c>
      <c r="L460" s="656" t="s">
        <v>34</v>
      </c>
      <c r="M460" s="656" t="s">
        <v>50</v>
      </c>
      <c r="N460" s="656" t="s">
        <v>76</v>
      </c>
      <c r="O460" s="656" t="s">
        <v>67</v>
      </c>
      <c r="P460" s="656" t="s">
        <v>47</v>
      </c>
      <c r="Q460" s="657">
        <v>95507</v>
      </c>
      <c r="R460" s="657">
        <v>95507</v>
      </c>
      <c r="S460" s="657">
        <v>543434</v>
      </c>
      <c r="T460" s="657">
        <v>543434</v>
      </c>
      <c r="U460" s="657">
        <v>36121</v>
      </c>
      <c r="V460" s="655">
        <v>2021</v>
      </c>
      <c r="W460" s="659" t="s">
        <v>3675</v>
      </c>
      <c r="X460" s="660">
        <f t="shared" si="23"/>
        <v>15.044821571938762</v>
      </c>
      <c r="Y460" s="661" t="str">
        <f t="shared" si="21"/>
        <v/>
      </c>
      <c r="Z460" s="661" t="str">
        <f t="shared" si="22"/>
        <v/>
      </c>
    </row>
    <row r="461" spans="1:26" s="128" customFormat="1" hidden="1">
      <c r="A461" s="655">
        <v>8053</v>
      </c>
      <c r="B461" s="656" t="s">
        <v>33</v>
      </c>
      <c r="C461" s="655" t="s">
        <v>2793</v>
      </c>
      <c r="D461" s="656" t="s">
        <v>759</v>
      </c>
      <c r="E461" s="656" t="s">
        <v>56</v>
      </c>
      <c r="F461" s="655">
        <v>15296</v>
      </c>
      <c r="G461" s="656" t="s">
        <v>57</v>
      </c>
      <c r="H461" s="656" t="s">
        <v>1182</v>
      </c>
      <c r="I461" s="656" t="s">
        <v>58</v>
      </c>
      <c r="J461" s="655">
        <v>22</v>
      </c>
      <c r="K461" s="655">
        <v>1</v>
      </c>
      <c r="L461" s="656" t="s">
        <v>34</v>
      </c>
      <c r="M461" s="656" t="s">
        <v>50</v>
      </c>
      <c r="N461" s="656" t="s">
        <v>39</v>
      </c>
      <c r="O461" s="656" t="s">
        <v>39</v>
      </c>
      <c r="P461" s="656" t="s">
        <v>1037</v>
      </c>
      <c r="Q461" s="657">
        <v>586295</v>
      </c>
      <c r="R461" s="657">
        <v>586295</v>
      </c>
      <c r="S461" s="657">
        <v>612091</v>
      </c>
      <c r="T461" s="657">
        <v>612091</v>
      </c>
      <c r="U461" s="657">
        <v>56018.999000000003</v>
      </c>
      <c r="V461" s="655">
        <v>2021</v>
      </c>
      <c r="W461" s="659" t="s">
        <v>3675</v>
      </c>
      <c r="X461" s="660">
        <f t="shared" si="23"/>
        <v>10.926489421919159</v>
      </c>
      <c r="Y461" s="661" t="str">
        <f t="shared" si="21"/>
        <v/>
      </c>
      <c r="Z461" s="661" t="str">
        <f t="shared" si="22"/>
        <v/>
      </c>
    </row>
    <row r="462" spans="1:26" s="128" customFormat="1" ht="25" hidden="1">
      <c r="A462" s="655">
        <v>8824</v>
      </c>
      <c r="B462" s="656" t="s">
        <v>33</v>
      </c>
      <c r="C462" s="655" t="s">
        <v>2793</v>
      </c>
      <c r="D462" s="656" t="s">
        <v>150</v>
      </c>
      <c r="E462" s="656" t="s">
        <v>107</v>
      </c>
      <c r="F462" s="655">
        <v>4226</v>
      </c>
      <c r="G462" s="656" t="s">
        <v>57</v>
      </c>
      <c r="H462" s="656" t="s">
        <v>1182</v>
      </c>
      <c r="I462" s="656" t="s">
        <v>1176</v>
      </c>
      <c r="J462" s="655">
        <v>22</v>
      </c>
      <c r="K462" s="655">
        <v>1</v>
      </c>
      <c r="L462" s="656" t="s">
        <v>34</v>
      </c>
      <c r="M462" s="656" t="s">
        <v>42</v>
      </c>
      <c r="N462" s="656" t="s">
        <v>61</v>
      </c>
      <c r="O462" s="656" t="s">
        <v>61</v>
      </c>
      <c r="P462" s="656" t="s">
        <v>47</v>
      </c>
      <c r="Q462" s="657">
        <v>0</v>
      </c>
      <c r="R462" s="657">
        <v>0</v>
      </c>
      <c r="S462" s="657">
        <v>0</v>
      </c>
      <c r="T462" s="657">
        <v>0</v>
      </c>
      <c r="U462" s="657">
        <v>0</v>
      </c>
      <c r="V462" s="655">
        <v>2021</v>
      </c>
      <c r="W462" s="659"/>
      <c r="X462" s="660" t="str">
        <f t="shared" si="23"/>
        <v/>
      </c>
      <c r="Y462" s="661" t="str">
        <f t="shared" si="21"/>
        <v/>
      </c>
      <c r="Z462" s="661" t="str">
        <f t="shared" si="22"/>
        <v/>
      </c>
    </row>
    <row r="463" spans="1:26" s="128" customFormat="1" ht="25" hidden="1">
      <c r="A463" s="655">
        <v>8858</v>
      </c>
      <c r="B463" s="656" t="s">
        <v>33</v>
      </c>
      <c r="C463" s="655" t="s">
        <v>2793</v>
      </c>
      <c r="D463" s="656" t="s">
        <v>3364</v>
      </c>
      <c r="E463" s="656" t="s">
        <v>87</v>
      </c>
      <c r="F463" s="655">
        <v>15452</v>
      </c>
      <c r="G463" s="656" t="s">
        <v>131</v>
      </c>
      <c r="H463" s="656" t="s">
        <v>1183</v>
      </c>
      <c r="I463" s="656" t="s">
        <v>1176</v>
      </c>
      <c r="J463" s="655">
        <v>22</v>
      </c>
      <c r="K463" s="655">
        <v>2</v>
      </c>
      <c r="L463" s="656" t="s">
        <v>52</v>
      </c>
      <c r="M463" s="656" t="s">
        <v>42</v>
      </c>
      <c r="N463" s="656" t="s">
        <v>48</v>
      </c>
      <c r="O463" s="656" t="s">
        <v>44</v>
      </c>
      <c r="P463" s="656" t="s">
        <v>45</v>
      </c>
      <c r="Q463" s="657">
        <v>0</v>
      </c>
      <c r="R463" s="657">
        <v>0</v>
      </c>
      <c r="S463" s="657">
        <v>0</v>
      </c>
      <c r="T463" s="657">
        <v>0</v>
      </c>
      <c r="U463" s="657">
        <v>0</v>
      </c>
      <c r="V463" s="655">
        <v>2021</v>
      </c>
      <c r="W463" s="659"/>
      <c r="X463" s="660" t="str">
        <f t="shared" si="23"/>
        <v/>
      </c>
      <c r="Y463" s="661" t="str">
        <f t="shared" si="21"/>
        <v/>
      </c>
      <c r="Z463" s="661" t="str">
        <f t="shared" si="22"/>
        <v/>
      </c>
    </row>
    <row r="464" spans="1:26" s="128" customFormat="1" ht="25" hidden="1">
      <c r="A464" s="655">
        <v>8907</v>
      </c>
      <c r="B464" s="656" t="s">
        <v>33</v>
      </c>
      <c r="C464" s="655">
        <v>3</v>
      </c>
      <c r="D464" s="656" t="s">
        <v>152</v>
      </c>
      <c r="E464" s="656" t="s">
        <v>153</v>
      </c>
      <c r="F464" s="655">
        <v>6028</v>
      </c>
      <c r="G464" s="656" t="s">
        <v>57</v>
      </c>
      <c r="H464" s="656" t="s">
        <v>1182</v>
      </c>
      <c r="I464" s="656" t="s">
        <v>58</v>
      </c>
      <c r="J464" s="655">
        <v>22</v>
      </c>
      <c r="K464" s="655">
        <v>2</v>
      </c>
      <c r="L464" s="656" t="s">
        <v>52</v>
      </c>
      <c r="M464" s="656" t="s">
        <v>42</v>
      </c>
      <c r="N464" s="656" t="s">
        <v>53</v>
      </c>
      <c r="O464" s="656" t="s">
        <v>53</v>
      </c>
      <c r="P464" s="656" t="s">
        <v>1176</v>
      </c>
      <c r="Q464" s="657">
        <v>0</v>
      </c>
      <c r="R464" s="657">
        <v>0</v>
      </c>
      <c r="S464" s="657">
        <v>0</v>
      </c>
      <c r="T464" s="657">
        <v>0</v>
      </c>
      <c r="U464" s="657">
        <v>2821401</v>
      </c>
      <c r="V464" s="655">
        <v>2021</v>
      </c>
      <c r="W464" s="659"/>
      <c r="X464" s="660" t="str">
        <f t="shared" si="23"/>
        <v/>
      </c>
      <c r="Y464" s="661" t="str">
        <f t="shared" si="21"/>
        <v/>
      </c>
      <c r="Z464" s="661" t="str">
        <f t="shared" si="22"/>
        <v/>
      </c>
    </row>
    <row r="465" spans="1:26" s="128" customFormat="1">
      <c r="A465" s="655">
        <v>9038</v>
      </c>
      <c r="B465" s="656" t="s">
        <v>33</v>
      </c>
      <c r="C465" s="655" t="s">
        <v>2793</v>
      </c>
      <c r="D465" s="656" t="s">
        <v>760</v>
      </c>
      <c r="E465" s="656" t="s">
        <v>1594</v>
      </c>
      <c r="F465" s="655">
        <v>8973</v>
      </c>
      <c r="G465" s="656" t="s">
        <v>81</v>
      </c>
      <c r="H465" s="656" t="s">
        <v>1183</v>
      </c>
      <c r="I465" s="656" t="s">
        <v>58</v>
      </c>
      <c r="J465" s="655">
        <v>22</v>
      </c>
      <c r="K465" s="655">
        <v>1</v>
      </c>
      <c r="L465" s="656" t="s">
        <v>34</v>
      </c>
      <c r="M465" s="656" t="s">
        <v>51</v>
      </c>
      <c r="N465" s="656" t="s">
        <v>46</v>
      </c>
      <c r="O465" s="656" t="s">
        <v>46</v>
      </c>
      <c r="P465" s="656" t="s">
        <v>47</v>
      </c>
      <c r="Q465" s="657">
        <v>163</v>
      </c>
      <c r="R465" s="657">
        <v>163</v>
      </c>
      <c r="S465" s="657">
        <v>948</v>
      </c>
      <c r="T465" s="657">
        <v>948</v>
      </c>
      <c r="U465" s="657">
        <v>94.495999999999995</v>
      </c>
      <c r="V465" s="655">
        <v>2021</v>
      </c>
      <c r="W465" s="659"/>
      <c r="X465" s="660">
        <f t="shared" si="23"/>
        <v>10.03217067389096</v>
      </c>
      <c r="Y465" s="661" t="str">
        <f t="shared" si="21"/>
        <v/>
      </c>
      <c r="Z465" s="661" t="str">
        <f t="shared" si="22"/>
        <v/>
      </c>
    </row>
    <row r="466" spans="1:26" s="128" customFormat="1">
      <c r="A466" s="655">
        <v>9038</v>
      </c>
      <c r="B466" s="656" t="s">
        <v>33</v>
      </c>
      <c r="C466" s="655" t="s">
        <v>2793</v>
      </c>
      <c r="D466" s="656" t="s">
        <v>760</v>
      </c>
      <c r="E466" s="656" t="s">
        <v>1594</v>
      </c>
      <c r="F466" s="655">
        <v>8973</v>
      </c>
      <c r="G466" s="656" t="s">
        <v>81</v>
      </c>
      <c r="H466" s="656" t="s">
        <v>1183</v>
      </c>
      <c r="I466" s="656" t="s">
        <v>58</v>
      </c>
      <c r="J466" s="655">
        <v>22</v>
      </c>
      <c r="K466" s="655">
        <v>1</v>
      </c>
      <c r="L466" s="656" t="s">
        <v>34</v>
      </c>
      <c r="M466" s="656" t="s">
        <v>51</v>
      </c>
      <c r="N466" s="656" t="s">
        <v>39</v>
      </c>
      <c r="O466" s="656" t="s">
        <v>39</v>
      </c>
      <c r="P466" s="656" t="s">
        <v>1037</v>
      </c>
      <c r="Q466" s="657">
        <v>1176</v>
      </c>
      <c r="R466" s="657">
        <v>1176</v>
      </c>
      <c r="S466" s="657">
        <v>1214</v>
      </c>
      <c r="T466" s="657">
        <v>1214</v>
      </c>
      <c r="U466" s="657">
        <v>120.504</v>
      </c>
      <c r="V466" s="655">
        <v>2021</v>
      </c>
      <c r="W466" s="659"/>
      <c r="X466" s="660">
        <f t="shared" si="23"/>
        <v>10.074354378277899</v>
      </c>
      <c r="Y466" s="661" t="str">
        <f t="shared" si="21"/>
        <v/>
      </c>
      <c r="Z466" s="661" t="str">
        <f t="shared" si="22"/>
        <v/>
      </c>
    </row>
    <row r="467" spans="1:26" s="128" customFormat="1" ht="25">
      <c r="A467" s="655">
        <v>9864</v>
      </c>
      <c r="B467" s="656" t="s">
        <v>33</v>
      </c>
      <c r="C467" s="655" t="s">
        <v>2793</v>
      </c>
      <c r="D467" s="656" t="s">
        <v>761</v>
      </c>
      <c r="E467" s="656" t="s">
        <v>601</v>
      </c>
      <c r="F467" s="655">
        <v>8776</v>
      </c>
      <c r="G467" s="656" t="s">
        <v>81</v>
      </c>
      <c r="H467" s="656" t="s">
        <v>1183</v>
      </c>
      <c r="I467" s="656" t="s">
        <v>58</v>
      </c>
      <c r="J467" s="655">
        <v>22</v>
      </c>
      <c r="K467" s="655">
        <v>1</v>
      </c>
      <c r="L467" s="656" t="s">
        <v>34</v>
      </c>
      <c r="M467" s="656" t="s">
        <v>35</v>
      </c>
      <c r="N467" s="656" t="s">
        <v>36</v>
      </c>
      <c r="O467" s="656" t="s">
        <v>37</v>
      </c>
      <c r="P467" s="656" t="s">
        <v>1176</v>
      </c>
      <c r="Q467" s="657">
        <v>0</v>
      </c>
      <c r="R467" s="657">
        <v>0</v>
      </c>
      <c r="S467" s="657">
        <v>32295</v>
      </c>
      <c r="T467" s="657">
        <v>32295</v>
      </c>
      <c r="U467" s="657">
        <v>3652</v>
      </c>
      <c r="V467" s="655">
        <v>2021</v>
      </c>
      <c r="W467" s="659"/>
      <c r="X467" s="660">
        <f t="shared" si="23"/>
        <v>8.843099671412924</v>
      </c>
      <c r="Y467" s="661" t="str">
        <f t="shared" si="21"/>
        <v/>
      </c>
      <c r="Z467" s="661" t="str">
        <f t="shared" si="22"/>
        <v/>
      </c>
    </row>
    <row r="468" spans="1:26" s="128" customFormat="1" ht="25">
      <c r="A468" s="655">
        <v>9864</v>
      </c>
      <c r="B468" s="656" t="s">
        <v>33</v>
      </c>
      <c r="C468" s="655" t="s">
        <v>2793</v>
      </c>
      <c r="D468" s="656" t="s">
        <v>761</v>
      </c>
      <c r="E468" s="656" t="s">
        <v>601</v>
      </c>
      <c r="F468" s="655">
        <v>8776</v>
      </c>
      <c r="G468" s="656" t="s">
        <v>81</v>
      </c>
      <c r="H468" s="656" t="s">
        <v>1183</v>
      </c>
      <c r="I468" s="656" t="s">
        <v>58</v>
      </c>
      <c r="J468" s="655">
        <v>22</v>
      </c>
      <c r="K468" s="655">
        <v>1</v>
      </c>
      <c r="L468" s="656" t="s">
        <v>34</v>
      </c>
      <c r="M468" s="656" t="s">
        <v>42</v>
      </c>
      <c r="N468" s="656" t="s">
        <v>46</v>
      </c>
      <c r="O468" s="656" t="s">
        <v>46</v>
      </c>
      <c r="P468" s="656" t="s">
        <v>47</v>
      </c>
      <c r="Q468" s="657">
        <v>0</v>
      </c>
      <c r="R468" s="657">
        <v>0</v>
      </c>
      <c r="S468" s="657">
        <v>0</v>
      </c>
      <c r="T468" s="657">
        <v>0</v>
      </c>
      <c r="U468" s="657">
        <v>0</v>
      </c>
      <c r="V468" s="655">
        <v>2021</v>
      </c>
      <c r="W468" s="659"/>
      <c r="X468" s="660" t="str">
        <f t="shared" si="23"/>
        <v/>
      </c>
      <c r="Y468" s="661" t="str">
        <f t="shared" si="21"/>
        <v/>
      </c>
      <c r="Z468" s="661" t="str">
        <f t="shared" si="22"/>
        <v/>
      </c>
    </row>
    <row r="469" spans="1:26" s="128" customFormat="1" ht="25">
      <c r="A469" s="655">
        <v>9864</v>
      </c>
      <c r="B469" s="656" t="s">
        <v>33</v>
      </c>
      <c r="C469" s="655" t="s">
        <v>2793</v>
      </c>
      <c r="D469" s="656" t="s">
        <v>761</v>
      </c>
      <c r="E469" s="656" t="s">
        <v>601</v>
      </c>
      <c r="F469" s="655">
        <v>8776</v>
      </c>
      <c r="G469" s="656" t="s">
        <v>81</v>
      </c>
      <c r="H469" s="656" t="s">
        <v>1183</v>
      </c>
      <c r="I469" s="656" t="s">
        <v>58</v>
      </c>
      <c r="J469" s="655">
        <v>22</v>
      </c>
      <c r="K469" s="655">
        <v>1</v>
      </c>
      <c r="L469" s="656" t="s">
        <v>34</v>
      </c>
      <c r="M469" s="656" t="s">
        <v>42</v>
      </c>
      <c r="N469" s="656" t="s">
        <v>39</v>
      </c>
      <c r="O469" s="656" t="s">
        <v>39</v>
      </c>
      <c r="P469" s="656" t="s">
        <v>1037</v>
      </c>
      <c r="Q469" s="657">
        <v>0</v>
      </c>
      <c r="R469" s="657">
        <v>0</v>
      </c>
      <c r="S469" s="657">
        <v>0</v>
      </c>
      <c r="T469" s="657">
        <v>0</v>
      </c>
      <c r="U469" s="657">
        <v>0</v>
      </c>
      <c r="V469" s="655">
        <v>2021</v>
      </c>
      <c r="W469" s="659"/>
      <c r="X469" s="660" t="str">
        <f t="shared" si="23"/>
        <v/>
      </c>
      <c r="Y469" s="661" t="str">
        <f t="shared" si="21"/>
        <v/>
      </c>
      <c r="Z469" s="661" t="str">
        <f t="shared" si="22"/>
        <v/>
      </c>
    </row>
    <row r="470" spans="1:26" s="128" customFormat="1" ht="25">
      <c r="A470" s="655">
        <v>9864</v>
      </c>
      <c r="B470" s="656" t="s">
        <v>33</v>
      </c>
      <c r="C470" s="655" t="s">
        <v>2793</v>
      </c>
      <c r="D470" s="656" t="s">
        <v>761</v>
      </c>
      <c r="E470" s="656" t="s">
        <v>601</v>
      </c>
      <c r="F470" s="655">
        <v>8776</v>
      </c>
      <c r="G470" s="656" t="s">
        <v>81</v>
      </c>
      <c r="H470" s="656" t="s">
        <v>1183</v>
      </c>
      <c r="I470" s="656" t="s">
        <v>58</v>
      </c>
      <c r="J470" s="655">
        <v>22</v>
      </c>
      <c r="K470" s="655">
        <v>1</v>
      </c>
      <c r="L470" s="656" t="s">
        <v>34</v>
      </c>
      <c r="M470" s="656" t="s">
        <v>42</v>
      </c>
      <c r="N470" s="656" t="s">
        <v>61</v>
      </c>
      <c r="O470" s="656" t="s">
        <v>61</v>
      </c>
      <c r="P470" s="656" t="s">
        <v>47</v>
      </c>
      <c r="Q470" s="657">
        <v>0</v>
      </c>
      <c r="R470" s="657">
        <v>0</v>
      </c>
      <c r="S470" s="657">
        <v>0</v>
      </c>
      <c r="T470" s="657">
        <v>0</v>
      </c>
      <c r="U470" s="657">
        <v>0</v>
      </c>
      <c r="V470" s="655">
        <v>2021</v>
      </c>
      <c r="W470" s="659"/>
      <c r="X470" s="660" t="str">
        <f t="shared" si="23"/>
        <v/>
      </c>
      <c r="Y470" s="661" t="str">
        <f t="shared" si="21"/>
        <v/>
      </c>
      <c r="Z470" s="661" t="str">
        <f t="shared" si="22"/>
        <v/>
      </c>
    </row>
    <row r="471" spans="1:26" s="128" customFormat="1" hidden="1">
      <c r="A471" s="655">
        <v>10025</v>
      </c>
      <c r="B471" s="656" t="s">
        <v>54</v>
      </c>
      <c r="C471" s="655" t="s">
        <v>2793</v>
      </c>
      <c r="D471" s="656" t="s">
        <v>1393</v>
      </c>
      <c r="E471" s="656" t="s">
        <v>1393</v>
      </c>
      <c r="F471" s="655">
        <v>5624</v>
      </c>
      <c r="G471" s="656" t="s">
        <v>57</v>
      </c>
      <c r="H471" s="656" t="s">
        <v>1182</v>
      </c>
      <c r="I471" s="656" t="s">
        <v>58</v>
      </c>
      <c r="J471" s="655">
        <v>339</v>
      </c>
      <c r="K471" s="655">
        <v>7</v>
      </c>
      <c r="L471" s="656" t="s">
        <v>409</v>
      </c>
      <c r="M471" s="656" t="s">
        <v>35</v>
      </c>
      <c r="N471" s="656" t="s">
        <v>36</v>
      </c>
      <c r="O471" s="656" t="s">
        <v>37</v>
      </c>
      <c r="P471" s="656" t="s">
        <v>1176</v>
      </c>
      <c r="Q471" s="657">
        <v>0</v>
      </c>
      <c r="R471" s="657">
        <v>0</v>
      </c>
      <c r="S471" s="657">
        <v>0</v>
      </c>
      <c r="T471" s="657">
        <v>0</v>
      </c>
      <c r="U471" s="657">
        <v>0</v>
      </c>
      <c r="V471" s="655">
        <v>2021</v>
      </c>
      <c r="W471" s="659"/>
      <c r="X471" s="660" t="str">
        <f t="shared" si="23"/>
        <v/>
      </c>
      <c r="Y471" s="661" t="str">
        <f t="shared" si="21"/>
        <v/>
      </c>
      <c r="Z471" s="661" t="str">
        <f t="shared" si="22"/>
        <v/>
      </c>
    </row>
    <row r="472" spans="1:26" s="128" customFormat="1" hidden="1">
      <c r="A472" s="655">
        <v>10025</v>
      </c>
      <c r="B472" s="656" t="s">
        <v>54</v>
      </c>
      <c r="C472" s="655" t="s">
        <v>2793</v>
      </c>
      <c r="D472" s="656" t="s">
        <v>1393</v>
      </c>
      <c r="E472" s="656" t="s">
        <v>1393</v>
      </c>
      <c r="F472" s="655">
        <v>5624</v>
      </c>
      <c r="G472" s="656" t="s">
        <v>57</v>
      </c>
      <c r="H472" s="656" t="s">
        <v>1182</v>
      </c>
      <c r="I472" s="656" t="s">
        <v>58</v>
      </c>
      <c r="J472" s="655">
        <v>339</v>
      </c>
      <c r="K472" s="655">
        <v>7</v>
      </c>
      <c r="L472" s="656" t="s">
        <v>409</v>
      </c>
      <c r="M472" s="656" t="s">
        <v>42</v>
      </c>
      <c r="N472" s="656" t="s">
        <v>43</v>
      </c>
      <c r="O472" s="656" t="s">
        <v>44</v>
      </c>
      <c r="P472" s="656" t="s">
        <v>45</v>
      </c>
      <c r="Q472" s="657">
        <v>0</v>
      </c>
      <c r="R472" s="657">
        <v>0</v>
      </c>
      <c r="S472" s="657">
        <v>0</v>
      </c>
      <c r="T472" s="657">
        <v>0</v>
      </c>
      <c r="U472" s="657">
        <v>0</v>
      </c>
      <c r="V472" s="655">
        <v>2021</v>
      </c>
      <c r="W472" s="659"/>
      <c r="X472" s="660" t="str">
        <f t="shared" si="23"/>
        <v/>
      </c>
      <c r="Y472" s="661" t="str">
        <f t="shared" si="21"/>
        <v/>
      </c>
      <c r="Z472" s="661" t="str">
        <f t="shared" si="22"/>
        <v/>
      </c>
    </row>
    <row r="473" spans="1:26" s="128" customFormat="1" hidden="1">
      <c r="A473" s="655">
        <v>10025</v>
      </c>
      <c r="B473" s="656" t="s">
        <v>54</v>
      </c>
      <c r="C473" s="655" t="s">
        <v>2793</v>
      </c>
      <c r="D473" s="656" t="s">
        <v>1393</v>
      </c>
      <c r="E473" s="656" t="s">
        <v>1393</v>
      </c>
      <c r="F473" s="655">
        <v>5624</v>
      </c>
      <c r="G473" s="656" t="s">
        <v>57</v>
      </c>
      <c r="H473" s="656" t="s">
        <v>1182</v>
      </c>
      <c r="I473" s="656" t="s">
        <v>58</v>
      </c>
      <c r="J473" s="655">
        <v>339</v>
      </c>
      <c r="K473" s="655">
        <v>7</v>
      </c>
      <c r="L473" s="656" t="s">
        <v>409</v>
      </c>
      <c r="M473" s="656" t="s">
        <v>42</v>
      </c>
      <c r="N473" s="656" t="s">
        <v>46</v>
      </c>
      <c r="O473" s="656" t="s">
        <v>46</v>
      </c>
      <c r="P473" s="656" t="s">
        <v>47</v>
      </c>
      <c r="Q473" s="657">
        <v>0</v>
      </c>
      <c r="R473" s="657">
        <v>0</v>
      </c>
      <c r="S473" s="657">
        <v>0</v>
      </c>
      <c r="T473" s="657">
        <v>0</v>
      </c>
      <c r="U473" s="657">
        <v>0</v>
      </c>
      <c r="V473" s="655">
        <v>2021</v>
      </c>
      <c r="W473" s="659"/>
      <c r="X473" s="660" t="str">
        <f t="shared" si="23"/>
        <v/>
      </c>
      <c r="Y473" s="661" t="str">
        <f t="shared" si="21"/>
        <v/>
      </c>
      <c r="Z473" s="661" t="str">
        <f t="shared" si="22"/>
        <v/>
      </c>
    </row>
    <row r="474" spans="1:26" s="128" customFormat="1" hidden="1">
      <c r="A474" s="655">
        <v>10025</v>
      </c>
      <c r="B474" s="656" t="s">
        <v>54</v>
      </c>
      <c r="C474" s="655" t="s">
        <v>2793</v>
      </c>
      <c r="D474" s="656" t="s">
        <v>1393</v>
      </c>
      <c r="E474" s="656" t="s">
        <v>1393</v>
      </c>
      <c r="F474" s="655">
        <v>5624</v>
      </c>
      <c r="G474" s="656" t="s">
        <v>57</v>
      </c>
      <c r="H474" s="656" t="s">
        <v>1182</v>
      </c>
      <c r="I474" s="656" t="s">
        <v>58</v>
      </c>
      <c r="J474" s="655">
        <v>339</v>
      </c>
      <c r="K474" s="655">
        <v>7</v>
      </c>
      <c r="L474" s="656" t="s">
        <v>409</v>
      </c>
      <c r="M474" s="656" t="s">
        <v>42</v>
      </c>
      <c r="N474" s="656" t="s">
        <v>39</v>
      </c>
      <c r="O474" s="656" t="s">
        <v>39</v>
      </c>
      <c r="P474" s="656" t="s">
        <v>1037</v>
      </c>
      <c r="Q474" s="657">
        <v>6910384</v>
      </c>
      <c r="R474" s="657">
        <v>2064283</v>
      </c>
      <c r="S474" s="657">
        <v>7117696</v>
      </c>
      <c r="T474" s="657">
        <v>2126211</v>
      </c>
      <c r="U474" s="657">
        <v>269844</v>
      </c>
      <c r="V474" s="655">
        <v>2021</v>
      </c>
      <c r="W474" s="659"/>
      <c r="X474" s="660" t="str">
        <f t="shared" si="23"/>
        <v/>
      </c>
      <c r="Y474" s="661" t="str">
        <f t="shared" si="21"/>
        <v/>
      </c>
      <c r="Z474" s="661" t="str">
        <f t="shared" si="22"/>
        <v/>
      </c>
    </row>
    <row r="475" spans="1:26" s="128" customFormat="1" hidden="1">
      <c r="A475" s="655">
        <v>10025</v>
      </c>
      <c r="B475" s="656" t="s">
        <v>54</v>
      </c>
      <c r="C475" s="655" t="s">
        <v>2793</v>
      </c>
      <c r="D475" s="656" t="s">
        <v>1393</v>
      </c>
      <c r="E475" s="656" t="s">
        <v>1393</v>
      </c>
      <c r="F475" s="655">
        <v>5624</v>
      </c>
      <c r="G475" s="656" t="s">
        <v>57</v>
      </c>
      <c r="H475" s="656" t="s">
        <v>1182</v>
      </c>
      <c r="I475" s="656" t="s">
        <v>58</v>
      </c>
      <c r="J475" s="655">
        <v>339</v>
      </c>
      <c r="K475" s="655">
        <v>7</v>
      </c>
      <c r="L475" s="656" t="s">
        <v>409</v>
      </c>
      <c r="M475" s="656" t="s">
        <v>42</v>
      </c>
      <c r="N475" s="656" t="s">
        <v>61</v>
      </c>
      <c r="O475" s="656" t="s">
        <v>61</v>
      </c>
      <c r="P475" s="656" t="s">
        <v>47</v>
      </c>
      <c r="Q475" s="657">
        <v>0</v>
      </c>
      <c r="R475" s="657">
        <v>0</v>
      </c>
      <c r="S475" s="657">
        <v>0</v>
      </c>
      <c r="T475" s="657">
        <v>0</v>
      </c>
      <c r="U475" s="657">
        <v>0</v>
      </c>
      <c r="V475" s="655">
        <v>2021</v>
      </c>
      <c r="W475" s="659"/>
      <c r="X475" s="660" t="str">
        <f t="shared" si="23"/>
        <v/>
      </c>
      <c r="Y475" s="661" t="str">
        <f t="shared" si="21"/>
        <v/>
      </c>
      <c r="Z475" s="661" t="str">
        <f t="shared" si="22"/>
        <v/>
      </c>
    </row>
    <row r="476" spans="1:26" s="128" customFormat="1" ht="25" hidden="1">
      <c r="A476" s="655">
        <v>10029</v>
      </c>
      <c r="B476" s="656" t="s">
        <v>33</v>
      </c>
      <c r="C476" s="655" t="s">
        <v>2793</v>
      </c>
      <c r="D476" s="656" t="s">
        <v>762</v>
      </c>
      <c r="E476" s="656" t="s">
        <v>762</v>
      </c>
      <c r="F476" s="655">
        <v>7049</v>
      </c>
      <c r="G476" s="656" t="s">
        <v>81</v>
      </c>
      <c r="H476" s="656" t="s">
        <v>1183</v>
      </c>
      <c r="I476" s="656" t="s">
        <v>58</v>
      </c>
      <c r="J476" s="655">
        <v>336</v>
      </c>
      <c r="K476" s="655">
        <v>6</v>
      </c>
      <c r="L476" s="656" t="s">
        <v>410</v>
      </c>
      <c r="M476" s="656" t="s">
        <v>448</v>
      </c>
      <c r="N476" s="656" t="s">
        <v>449</v>
      </c>
      <c r="O476" s="656" t="s">
        <v>449</v>
      </c>
      <c r="P476" s="656" t="s">
        <v>1176</v>
      </c>
      <c r="Q476" s="657">
        <v>0</v>
      </c>
      <c r="R476" s="657">
        <v>0</v>
      </c>
      <c r="S476" s="657">
        <v>20302</v>
      </c>
      <c r="T476" s="657">
        <v>20302</v>
      </c>
      <c r="U476" s="657">
        <v>2296</v>
      </c>
      <c r="V476" s="655">
        <v>2021</v>
      </c>
      <c r="W476" s="659"/>
      <c r="X476" s="660" t="str">
        <f t="shared" si="23"/>
        <v/>
      </c>
      <c r="Y476" s="661" t="str">
        <f t="shared" si="21"/>
        <v/>
      </c>
      <c r="Z476" s="661" t="str">
        <f t="shared" si="22"/>
        <v/>
      </c>
    </row>
    <row r="477" spans="1:26" s="128" customFormat="1" ht="25" hidden="1">
      <c r="A477" s="655">
        <v>10029</v>
      </c>
      <c r="B477" s="656" t="s">
        <v>33</v>
      </c>
      <c r="C477" s="655" t="s">
        <v>2793</v>
      </c>
      <c r="D477" s="656" t="s">
        <v>762</v>
      </c>
      <c r="E477" s="656" t="s">
        <v>762</v>
      </c>
      <c r="F477" s="655">
        <v>7049</v>
      </c>
      <c r="G477" s="656" t="s">
        <v>81</v>
      </c>
      <c r="H477" s="656" t="s">
        <v>1183</v>
      </c>
      <c r="I477" s="656" t="s">
        <v>58</v>
      </c>
      <c r="J477" s="655">
        <v>336</v>
      </c>
      <c r="K477" s="655">
        <v>6</v>
      </c>
      <c r="L477" s="656" t="s">
        <v>410</v>
      </c>
      <c r="M477" s="656" t="s">
        <v>42</v>
      </c>
      <c r="N477" s="656" t="s">
        <v>46</v>
      </c>
      <c r="O477" s="656" t="s">
        <v>46</v>
      </c>
      <c r="P477" s="656" t="s">
        <v>47</v>
      </c>
      <c r="Q477" s="657">
        <v>0</v>
      </c>
      <c r="R477" s="657">
        <v>0</v>
      </c>
      <c r="S477" s="657">
        <v>0</v>
      </c>
      <c r="T477" s="657">
        <v>0</v>
      </c>
      <c r="U477" s="657">
        <v>0</v>
      </c>
      <c r="V477" s="655">
        <v>2021</v>
      </c>
      <c r="W477" s="659"/>
      <c r="X477" s="660" t="str">
        <f t="shared" si="23"/>
        <v/>
      </c>
      <c r="Y477" s="661" t="str">
        <f t="shared" si="21"/>
        <v/>
      </c>
      <c r="Z477" s="661" t="str">
        <f t="shared" si="22"/>
        <v/>
      </c>
    </row>
    <row r="478" spans="1:26" s="128" customFormat="1" ht="25" hidden="1">
      <c r="A478" s="655">
        <v>10029</v>
      </c>
      <c r="B478" s="656" t="s">
        <v>33</v>
      </c>
      <c r="C478" s="655" t="s">
        <v>2793</v>
      </c>
      <c r="D478" s="656" t="s">
        <v>762</v>
      </c>
      <c r="E478" s="656" t="s">
        <v>762</v>
      </c>
      <c r="F478" s="655">
        <v>7049</v>
      </c>
      <c r="G478" s="656" t="s">
        <v>81</v>
      </c>
      <c r="H478" s="656" t="s">
        <v>1183</v>
      </c>
      <c r="I478" s="656" t="s">
        <v>58</v>
      </c>
      <c r="J478" s="655">
        <v>336</v>
      </c>
      <c r="K478" s="655">
        <v>6</v>
      </c>
      <c r="L478" s="656" t="s">
        <v>410</v>
      </c>
      <c r="M478" s="656" t="s">
        <v>42</v>
      </c>
      <c r="N478" s="656" t="s">
        <v>39</v>
      </c>
      <c r="O478" s="656" t="s">
        <v>39</v>
      </c>
      <c r="P478" s="656" t="s">
        <v>1037</v>
      </c>
      <c r="Q478" s="657">
        <v>0</v>
      </c>
      <c r="R478" s="657">
        <v>0</v>
      </c>
      <c r="S478" s="657">
        <v>0</v>
      </c>
      <c r="T478" s="657">
        <v>0</v>
      </c>
      <c r="U478" s="657">
        <v>0</v>
      </c>
      <c r="V478" s="655">
        <v>2021</v>
      </c>
      <c r="W478" s="659"/>
      <c r="X478" s="660" t="str">
        <f t="shared" si="23"/>
        <v/>
      </c>
      <c r="Y478" s="661" t="str">
        <f t="shared" si="21"/>
        <v/>
      </c>
      <c r="Z478" s="661" t="str">
        <f t="shared" si="22"/>
        <v/>
      </c>
    </row>
    <row r="479" spans="1:26" s="128" customFormat="1" ht="25" hidden="1">
      <c r="A479" s="655">
        <v>10029</v>
      </c>
      <c r="B479" s="656" t="s">
        <v>33</v>
      </c>
      <c r="C479" s="655" t="s">
        <v>2793</v>
      </c>
      <c r="D479" s="656" t="s">
        <v>762</v>
      </c>
      <c r="E479" s="656" t="s">
        <v>762</v>
      </c>
      <c r="F479" s="655">
        <v>7049</v>
      </c>
      <c r="G479" s="656" t="s">
        <v>81</v>
      </c>
      <c r="H479" s="656" t="s">
        <v>1183</v>
      </c>
      <c r="I479" s="656" t="s">
        <v>58</v>
      </c>
      <c r="J479" s="655">
        <v>336</v>
      </c>
      <c r="K479" s="655">
        <v>6</v>
      </c>
      <c r="L479" s="656" t="s">
        <v>410</v>
      </c>
      <c r="M479" s="656" t="s">
        <v>42</v>
      </c>
      <c r="N479" s="656" t="s">
        <v>61</v>
      </c>
      <c r="O479" s="656" t="s">
        <v>61</v>
      </c>
      <c r="P479" s="656" t="s">
        <v>47</v>
      </c>
      <c r="Q479" s="657">
        <v>0</v>
      </c>
      <c r="R479" s="657">
        <v>0</v>
      </c>
      <c r="S479" s="657">
        <v>0</v>
      </c>
      <c r="T479" s="657">
        <v>0</v>
      </c>
      <c r="U479" s="657">
        <v>0</v>
      </c>
      <c r="V479" s="655">
        <v>2021</v>
      </c>
      <c r="W479" s="659"/>
      <c r="X479" s="660" t="str">
        <f t="shared" si="23"/>
        <v/>
      </c>
      <c r="Y479" s="661" t="str">
        <f t="shared" si="21"/>
        <v/>
      </c>
      <c r="Z479" s="661" t="str">
        <f t="shared" si="22"/>
        <v/>
      </c>
    </row>
    <row r="480" spans="1:26" s="128" customFormat="1" hidden="1">
      <c r="A480" s="655">
        <v>10036</v>
      </c>
      <c r="B480" s="656" t="s">
        <v>33</v>
      </c>
      <c r="C480" s="655" t="s">
        <v>2793</v>
      </c>
      <c r="D480" s="656" t="s">
        <v>763</v>
      </c>
      <c r="E480" s="656" t="s">
        <v>764</v>
      </c>
      <c r="F480" s="655">
        <v>56590</v>
      </c>
      <c r="G480" s="656" t="s">
        <v>96</v>
      </c>
      <c r="H480" s="656" t="s">
        <v>1183</v>
      </c>
      <c r="I480" s="656" t="s">
        <v>58</v>
      </c>
      <c r="J480" s="655">
        <v>22</v>
      </c>
      <c r="K480" s="655">
        <v>2</v>
      </c>
      <c r="L480" s="656" t="s">
        <v>52</v>
      </c>
      <c r="M480" s="656" t="s">
        <v>35</v>
      </c>
      <c r="N480" s="656" t="s">
        <v>36</v>
      </c>
      <c r="O480" s="656" t="s">
        <v>37</v>
      </c>
      <c r="P480" s="656" t="s">
        <v>1176</v>
      </c>
      <c r="Q480" s="657">
        <v>0</v>
      </c>
      <c r="R480" s="657">
        <v>0</v>
      </c>
      <c r="S480" s="657">
        <v>43790</v>
      </c>
      <c r="T480" s="657">
        <v>43790</v>
      </c>
      <c r="U480" s="657">
        <v>4952</v>
      </c>
      <c r="V480" s="655">
        <v>2021</v>
      </c>
      <c r="W480" s="659"/>
      <c r="X480" s="660">
        <f t="shared" si="23"/>
        <v>8.8428917609046849</v>
      </c>
      <c r="Y480" s="661" t="str">
        <f t="shared" si="21"/>
        <v/>
      </c>
      <c r="Z480" s="661" t="str">
        <f t="shared" si="22"/>
        <v/>
      </c>
    </row>
    <row r="481" spans="1:26" s="128" customFormat="1" hidden="1">
      <c r="A481" s="655">
        <v>10063</v>
      </c>
      <c r="B481" s="656" t="s">
        <v>33</v>
      </c>
      <c r="C481" s="655" t="s">
        <v>2793</v>
      </c>
      <c r="D481" s="656" t="s">
        <v>765</v>
      </c>
      <c r="E481" s="656" t="s">
        <v>766</v>
      </c>
      <c r="F481" s="655">
        <v>11943</v>
      </c>
      <c r="G481" s="656" t="s">
        <v>41</v>
      </c>
      <c r="H481" s="656" t="s">
        <v>1183</v>
      </c>
      <c r="I481" s="656" t="s">
        <v>58</v>
      </c>
      <c r="J481" s="655">
        <v>22</v>
      </c>
      <c r="K481" s="655">
        <v>2</v>
      </c>
      <c r="L481" s="656" t="s">
        <v>52</v>
      </c>
      <c r="M481" s="656" t="s">
        <v>35</v>
      </c>
      <c r="N481" s="656" t="s">
        <v>36</v>
      </c>
      <c r="O481" s="656" t="s">
        <v>37</v>
      </c>
      <c r="P481" s="656" t="s">
        <v>1176</v>
      </c>
      <c r="Q481" s="657">
        <v>0</v>
      </c>
      <c r="R481" s="657">
        <v>0</v>
      </c>
      <c r="S481" s="657">
        <v>278952</v>
      </c>
      <c r="T481" s="657">
        <v>278952</v>
      </c>
      <c r="U481" s="657">
        <v>31545</v>
      </c>
      <c r="V481" s="655">
        <v>2021</v>
      </c>
      <c r="W481" s="659"/>
      <c r="X481" s="660">
        <f t="shared" si="23"/>
        <v>8.8429862101759387</v>
      </c>
      <c r="Y481" s="661" t="str">
        <f t="shared" si="21"/>
        <v/>
      </c>
      <c r="Z481" s="661" t="str">
        <f t="shared" si="22"/>
        <v/>
      </c>
    </row>
    <row r="482" spans="1:26" s="128" customFormat="1" ht="25" hidden="1">
      <c r="A482" s="655">
        <v>10066</v>
      </c>
      <c r="B482" s="656" t="s">
        <v>33</v>
      </c>
      <c r="C482" s="655" t="s">
        <v>2793</v>
      </c>
      <c r="D482" s="656" t="s">
        <v>767</v>
      </c>
      <c r="E482" s="656" t="s">
        <v>768</v>
      </c>
      <c r="F482" s="655">
        <v>12401</v>
      </c>
      <c r="G482" s="656" t="s">
        <v>90</v>
      </c>
      <c r="H482" s="656" t="s">
        <v>1183</v>
      </c>
      <c r="I482" s="656" t="s">
        <v>58</v>
      </c>
      <c r="J482" s="655">
        <v>22</v>
      </c>
      <c r="K482" s="655">
        <v>2</v>
      </c>
      <c r="L482" s="656" t="s">
        <v>52</v>
      </c>
      <c r="M482" s="656" t="s">
        <v>35</v>
      </c>
      <c r="N482" s="656" t="s">
        <v>36</v>
      </c>
      <c r="O482" s="656" t="s">
        <v>37</v>
      </c>
      <c r="P482" s="656" t="s">
        <v>1176</v>
      </c>
      <c r="Q482" s="657">
        <v>0</v>
      </c>
      <c r="R482" s="657">
        <v>0</v>
      </c>
      <c r="S482" s="657">
        <v>175702</v>
      </c>
      <c r="T482" s="657">
        <v>175702</v>
      </c>
      <c r="U482" s="657">
        <v>19869</v>
      </c>
      <c r="V482" s="655">
        <v>2021</v>
      </c>
      <c r="W482" s="659"/>
      <c r="X482" s="660">
        <f t="shared" si="23"/>
        <v>8.8430217927424639</v>
      </c>
      <c r="Y482" s="661" t="str">
        <f t="shared" si="21"/>
        <v/>
      </c>
      <c r="Z482" s="661" t="str">
        <f t="shared" si="22"/>
        <v/>
      </c>
    </row>
    <row r="483" spans="1:26" s="128" customFormat="1" ht="25" hidden="1">
      <c r="A483" s="655">
        <v>10108</v>
      </c>
      <c r="B483" s="656" t="s">
        <v>54</v>
      </c>
      <c r="C483" s="655" t="s">
        <v>2793</v>
      </c>
      <c r="D483" s="656" t="s">
        <v>769</v>
      </c>
      <c r="E483" s="656" t="s">
        <v>770</v>
      </c>
      <c r="F483" s="655">
        <v>6636</v>
      </c>
      <c r="G483" s="656" t="s">
        <v>96</v>
      </c>
      <c r="H483" s="656" t="s">
        <v>1183</v>
      </c>
      <c r="I483" s="656" t="s">
        <v>58</v>
      </c>
      <c r="J483" s="655">
        <v>313</v>
      </c>
      <c r="K483" s="655">
        <v>7</v>
      </c>
      <c r="L483" s="656" t="s">
        <v>409</v>
      </c>
      <c r="M483" s="656" t="s">
        <v>50</v>
      </c>
      <c r="N483" s="656" t="s">
        <v>46</v>
      </c>
      <c r="O483" s="656" t="s">
        <v>46</v>
      </c>
      <c r="P483" s="656" t="s">
        <v>47</v>
      </c>
      <c r="Q483" s="657">
        <v>0</v>
      </c>
      <c r="R483" s="657">
        <v>0</v>
      </c>
      <c r="S483" s="657">
        <v>0</v>
      </c>
      <c r="T483" s="657">
        <v>0</v>
      </c>
      <c r="U483" s="657">
        <v>0</v>
      </c>
      <c r="V483" s="655">
        <v>2021</v>
      </c>
      <c r="W483" s="659"/>
      <c r="X483" s="660" t="str">
        <f t="shared" si="23"/>
        <v/>
      </c>
      <c r="Y483" s="661" t="str">
        <f t="shared" si="21"/>
        <v/>
      </c>
      <c r="Z483" s="661" t="str">
        <f t="shared" si="22"/>
        <v/>
      </c>
    </row>
    <row r="484" spans="1:26" s="128" customFormat="1" ht="25" hidden="1">
      <c r="A484" s="655">
        <v>10108</v>
      </c>
      <c r="B484" s="656" t="s">
        <v>54</v>
      </c>
      <c r="C484" s="655" t="s">
        <v>2793</v>
      </c>
      <c r="D484" s="656" t="s">
        <v>769</v>
      </c>
      <c r="E484" s="656" t="s">
        <v>770</v>
      </c>
      <c r="F484" s="655">
        <v>6636</v>
      </c>
      <c r="G484" s="656" t="s">
        <v>96</v>
      </c>
      <c r="H484" s="656" t="s">
        <v>1183</v>
      </c>
      <c r="I484" s="656" t="s">
        <v>58</v>
      </c>
      <c r="J484" s="655">
        <v>313</v>
      </c>
      <c r="K484" s="655">
        <v>7</v>
      </c>
      <c r="L484" s="656" t="s">
        <v>409</v>
      </c>
      <c r="M484" s="656" t="s">
        <v>50</v>
      </c>
      <c r="N484" s="656" t="s">
        <v>39</v>
      </c>
      <c r="O484" s="656" t="s">
        <v>39</v>
      </c>
      <c r="P484" s="656" t="s">
        <v>1037</v>
      </c>
      <c r="Q484" s="657">
        <v>341125</v>
      </c>
      <c r="R484" s="657">
        <v>183064</v>
      </c>
      <c r="S484" s="657">
        <v>347948</v>
      </c>
      <c r="T484" s="657">
        <v>186726</v>
      </c>
      <c r="U484" s="657">
        <v>29005</v>
      </c>
      <c r="V484" s="655">
        <v>2021</v>
      </c>
      <c r="W484" s="659"/>
      <c r="X484" s="660" t="str">
        <f t="shared" si="23"/>
        <v/>
      </c>
      <c r="Y484" s="661">
        <f t="shared" si="21"/>
        <v>5.5537678688859522</v>
      </c>
      <c r="Z484" s="661" t="str">
        <f t="shared" si="22"/>
        <v/>
      </c>
    </row>
    <row r="485" spans="1:26" s="128" customFormat="1" ht="25" hidden="1">
      <c r="A485" s="655">
        <v>10109</v>
      </c>
      <c r="B485" s="656" t="s">
        <v>33</v>
      </c>
      <c r="C485" s="655" t="s">
        <v>2793</v>
      </c>
      <c r="D485" s="656" t="s">
        <v>2315</v>
      </c>
      <c r="E485" s="656" t="s">
        <v>3104</v>
      </c>
      <c r="F485" s="655">
        <v>57280</v>
      </c>
      <c r="G485" s="656" t="s">
        <v>96</v>
      </c>
      <c r="H485" s="656" t="s">
        <v>1183</v>
      </c>
      <c r="I485" s="656" t="s">
        <v>58</v>
      </c>
      <c r="J485" s="655">
        <v>22</v>
      </c>
      <c r="K485" s="655">
        <v>2</v>
      </c>
      <c r="L485" s="656" t="s">
        <v>52</v>
      </c>
      <c r="M485" s="656" t="s">
        <v>35</v>
      </c>
      <c r="N485" s="656" t="s">
        <v>36</v>
      </c>
      <c r="O485" s="656" t="s">
        <v>37</v>
      </c>
      <c r="P485" s="656" t="s">
        <v>1176</v>
      </c>
      <c r="Q485" s="657">
        <v>0</v>
      </c>
      <c r="R485" s="657">
        <v>0</v>
      </c>
      <c r="S485" s="657">
        <v>61043</v>
      </c>
      <c r="T485" s="657">
        <v>61043</v>
      </c>
      <c r="U485" s="657">
        <v>6903</v>
      </c>
      <c r="V485" s="655">
        <v>2021</v>
      </c>
      <c r="W485" s="659"/>
      <c r="X485" s="660">
        <f t="shared" si="23"/>
        <v>8.8429668260176726</v>
      </c>
      <c r="Y485" s="661" t="str">
        <f t="shared" si="21"/>
        <v/>
      </c>
      <c r="Z485" s="661" t="str">
        <f t="shared" si="22"/>
        <v/>
      </c>
    </row>
    <row r="486" spans="1:26" s="128" customFormat="1" hidden="1">
      <c r="A486" s="655">
        <v>10116</v>
      </c>
      <c r="B486" s="656" t="s">
        <v>33</v>
      </c>
      <c r="C486" s="655" t="s">
        <v>2793</v>
      </c>
      <c r="D486" s="656" t="s">
        <v>771</v>
      </c>
      <c r="E486" s="656" t="s">
        <v>772</v>
      </c>
      <c r="F486" s="655">
        <v>9357</v>
      </c>
      <c r="G486" s="656" t="s">
        <v>57</v>
      </c>
      <c r="H486" s="656" t="s">
        <v>1182</v>
      </c>
      <c r="I486" s="656" t="s">
        <v>58</v>
      </c>
      <c r="J486" s="655">
        <v>22</v>
      </c>
      <c r="K486" s="655">
        <v>2</v>
      </c>
      <c r="L486" s="656" t="s">
        <v>52</v>
      </c>
      <c r="M486" s="656" t="s">
        <v>35</v>
      </c>
      <c r="N486" s="656" t="s">
        <v>36</v>
      </c>
      <c r="O486" s="656" t="s">
        <v>37</v>
      </c>
      <c r="P486" s="656" t="s">
        <v>1176</v>
      </c>
      <c r="Q486" s="657">
        <v>0</v>
      </c>
      <c r="R486" s="657">
        <v>0</v>
      </c>
      <c r="S486" s="657">
        <v>79391</v>
      </c>
      <c r="T486" s="657">
        <v>79391</v>
      </c>
      <c r="U486" s="657">
        <v>8978</v>
      </c>
      <c r="V486" s="655">
        <v>2021</v>
      </c>
      <c r="W486" s="659"/>
      <c r="X486" s="660">
        <f t="shared" si="23"/>
        <v>8.8428380485631539</v>
      </c>
      <c r="Y486" s="661" t="str">
        <f t="shared" si="21"/>
        <v/>
      </c>
      <c r="Z486" s="661" t="str">
        <f t="shared" si="22"/>
        <v/>
      </c>
    </row>
    <row r="487" spans="1:26" s="128" customFormat="1" ht="25" hidden="1">
      <c r="A487" s="655">
        <v>10124</v>
      </c>
      <c r="B487" s="656" t="s">
        <v>33</v>
      </c>
      <c r="C487" s="655" t="s">
        <v>2793</v>
      </c>
      <c r="D487" s="656" t="s">
        <v>773</v>
      </c>
      <c r="E487" s="656" t="s">
        <v>1595</v>
      </c>
      <c r="F487" s="655">
        <v>59136</v>
      </c>
      <c r="G487" s="656" t="s">
        <v>57</v>
      </c>
      <c r="H487" s="656" t="s">
        <v>1182</v>
      </c>
      <c r="I487" s="656" t="s">
        <v>58</v>
      </c>
      <c r="J487" s="655">
        <v>22</v>
      </c>
      <c r="K487" s="655">
        <v>2</v>
      </c>
      <c r="L487" s="656" t="s">
        <v>52</v>
      </c>
      <c r="M487" s="656" t="s">
        <v>35</v>
      </c>
      <c r="N487" s="656" t="s">
        <v>36</v>
      </c>
      <c r="O487" s="656" t="s">
        <v>37</v>
      </c>
      <c r="P487" s="656" t="s">
        <v>1176</v>
      </c>
      <c r="Q487" s="657">
        <v>0</v>
      </c>
      <c r="R487" s="657">
        <v>0</v>
      </c>
      <c r="S487" s="657">
        <v>22638</v>
      </c>
      <c r="T487" s="657">
        <v>22638</v>
      </c>
      <c r="U487" s="657">
        <v>2560</v>
      </c>
      <c r="V487" s="655">
        <v>2021</v>
      </c>
      <c r="W487" s="659"/>
      <c r="X487" s="660">
        <f t="shared" si="23"/>
        <v>8.8429687500000007</v>
      </c>
      <c r="Y487" s="661" t="str">
        <f t="shared" si="21"/>
        <v/>
      </c>
      <c r="Z487" s="661" t="str">
        <f t="shared" si="22"/>
        <v/>
      </c>
    </row>
    <row r="488" spans="1:26" s="128" customFormat="1" ht="25" hidden="1">
      <c r="A488" s="655">
        <v>10137</v>
      </c>
      <c r="B488" s="656" t="s">
        <v>33</v>
      </c>
      <c r="C488" s="655" t="s">
        <v>2793</v>
      </c>
      <c r="D488" s="656" t="s">
        <v>774</v>
      </c>
      <c r="E488" s="656" t="s">
        <v>132</v>
      </c>
      <c r="F488" s="655">
        <v>7601</v>
      </c>
      <c r="G488" s="656" t="s">
        <v>89</v>
      </c>
      <c r="H488" s="656" t="s">
        <v>1183</v>
      </c>
      <c r="I488" s="656" t="s">
        <v>58</v>
      </c>
      <c r="J488" s="655">
        <v>22</v>
      </c>
      <c r="K488" s="655">
        <v>1</v>
      </c>
      <c r="L488" s="656" t="s">
        <v>34</v>
      </c>
      <c r="M488" s="656" t="s">
        <v>35</v>
      </c>
      <c r="N488" s="656" t="s">
        <v>36</v>
      </c>
      <c r="O488" s="656" t="s">
        <v>37</v>
      </c>
      <c r="P488" s="656" t="s">
        <v>1176</v>
      </c>
      <c r="Q488" s="657">
        <v>0</v>
      </c>
      <c r="R488" s="657">
        <v>0</v>
      </c>
      <c r="S488" s="657">
        <v>4714</v>
      </c>
      <c r="T488" s="657">
        <v>4714</v>
      </c>
      <c r="U488" s="657">
        <v>533</v>
      </c>
      <c r="V488" s="655">
        <v>2021</v>
      </c>
      <c r="W488" s="659"/>
      <c r="X488" s="660">
        <f t="shared" si="23"/>
        <v>8.8442776735459656</v>
      </c>
      <c r="Y488" s="661" t="str">
        <f t="shared" si="21"/>
        <v/>
      </c>
      <c r="Z488" s="661" t="str">
        <f t="shared" si="22"/>
        <v/>
      </c>
    </row>
    <row r="489" spans="1:26" s="128" customFormat="1" ht="25">
      <c r="A489" s="655">
        <v>10176</v>
      </c>
      <c r="B489" s="656" t="s">
        <v>33</v>
      </c>
      <c r="C489" s="655" t="s">
        <v>2793</v>
      </c>
      <c r="D489" s="656" t="s">
        <v>775</v>
      </c>
      <c r="E489" s="656" t="s">
        <v>776</v>
      </c>
      <c r="F489" s="655">
        <v>11724</v>
      </c>
      <c r="G489" s="656" t="s">
        <v>81</v>
      </c>
      <c r="H489" s="656" t="s">
        <v>1183</v>
      </c>
      <c r="I489" s="656" t="s">
        <v>58</v>
      </c>
      <c r="J489" s="655">
        <v>22</v>
      </c>
      <c r="K489" s="655">
        <v>2</v>
      </c>
      <c r="L489" s="656" t="s">
        <v>52</v>
      </c>
      <c r="M489" s="656" t="s">
        <v>50</v>
      </c>
      <c r="N489" s="656" t="s">
        <v>76</v>
      </c>
      <c r="O489" s="656" t="s">
        <v>67</v>
      </c>
      <c r="P489" s="656" t="s">
        <v>47</v>
      </c>
      <c r="Q489" s="657">
        <v>1215</v>
      </c>
      <c r="R489" s="657">
        <v>1215</v>
      </c>
      <c r="S489" s="657">
        <v>6805</v>
      </c>
      <c r="T489" s="657">
        <v>6805</v>
      </c>
      <c r="U489" s="657">
        <v>379</v>
      </c>
      <c r="V489" s="655">
        <v>2021</v>
      </c>
      <c r="W489" s="659" t="s">
        <v>3675</v>
      </c>
      <c r="X489" s="660">
        <f t="shared" si="23"/>
        <v>17.955145118733508</v>
      </c>
      <c r="Y489" s="661" t="str">
        <f t="shared" si="21"/>
        <v/>
      </c>
      <c r="Z489" s="661" t="str">
        <f t="shared" si="22"/>
        <v/>
      </c>
    </row>
    <row r="490" spans="1:26" s="128" customFormat="1" ht="25" hidden="1">
      <c r="A490" s="655">
        <v>10183</v>
      </c>
      <c r="B490" s="656" t="s">
        <v>33</v>
      </c>
      <c r="C490" s="655" t="s">
        <v>2793</v>
      </c>
      <c r="D490" s="656" t="s">
        <v>777</v>
      </c>
      <c r="E490" s="656" t="s">
        <v>2316</v>
      </c>
      <c r="F490" s="655">
        <v>61979</v>
      </c>
      <c r="G490" s="656" t="s">
        <v>96</v>
      </c>
      <c r="H490" s="656" t="s">
        <v>1183</v>
      </c>
      <c r="I490" s="656" t="s">
        <v>58</v>
      </c>
      <c r="J490" s="655">
        <v>22</v>
      </c>
      <c r="K490" s="655">
        <v>2</v>
      </c>
      <c r="L490" s="656" t="s">
        <v>52</v>
      </c>
      <c r="M490" s="656" t="s">
        <v>35</v>
      </c>
      <c r="N490" s="656" t="s">
        <v>36</v>
      </c>
      <c r="O490" s="656" t="s">
        <v>37</v>
      </c>
      <c r="P490" s="656" t="s">
        <v>1176</v>
      </c>
      <c r="Q490" s="657">
        <v>0</v>
      </c>
      <c r="R490" s="657">
        <v>0</v>
      </c>
      <c r="S490" s="657">
        <v>138111</v>
      </c>
      <c r="T490" s="657">
        <v>138111</v>
      </c>
      <c r="U490" s="657">
        <v>15618</v>
      </c>
      <c r="V490" s="655">
        <v>2021</v>
      </c>
      <c r="W490" s="659"/>
      <c r="X490" s="660">
        <f t="shared" si="23"/>
        <v>8.8430656934306562</v>
      </c>
      <c r="Y490" s="661" t="str">
        <f t="shared" si="21"/>
        <v/>
      </c>
      <c r="Z490" s="661" t="str">
        <f t="shared" si="22"/>
        <v/>
      </c>
    </row>
    <row r="491" spans="1:26" s="128" customFormat="1" ht="25" hidden="1">
      <c r="A491" s="655">
        <v>10186</v>
      </c>
      <c r="B491" s="656" t="s">
        <v>33</v>
      </c>
      <c r="C491" s="655" t="s">
        <v>2793</v>
      </c>
      <c r="D491" s="656" t="s">
        <v>411</v>
      </c>
      <c r="E491" s="656" t="s">
        <v>3104</v>
      </c>
      <c r="F491" s="655">
        <v>57280</v>
      </c>
      <c r="G491" s="656" t="s">
        <v>90</v>
      </c>
      <c r="H491" s="656" t="s">
        <v>1183</v>
      </c>
      <c r="I491" s="656" t="s">
        <v>58</v>
      </c>
      <c r="J491" s="655">
        <v>22</v>
      </c>
      <c r="K491" s="655">
        <v>2</v>
      </c>
      <c r="L491" s="656" t="s">
        <v>52</v>
      </c>
      <c r="M491" s="656" t="s">
        <v>35</v>
      </c>
      <c r="N491" s="656" t="s">
        <v>36</v>
      </c>
      <c r="O491" s="656" t="s">
        <v>37</v>
      </c>
      <c r="P491" s="656" t="s">
        <v>1176</v>
      </c>
      <c r="Q491" s="657">
        <v>0</v>
      </c>
      <c r="R491" s="657">
        <v>0</v>
      </c>
      <c r="S491" s="657">
        <v>807596</v>
      </c>
      <c r="T491" s="657">
        <v>807596</v>
      </c>
      <c r="U491" s="657">
        <v>91326</v>
      </c>
      <c r="V491" s="655">
        <v>2021</v>
      </c>
      <c r="W491" s="659"/>
      <c r="X491" s="660">
        <f t="shared" si="23"/>
        <v>8.8430019928607404</v>
      </c>
      <c r="Y491" s="661" t="str">
        <f t="shared" si="21"/>
        <v/>
      </c>
      <c r="Z491" s="661" t="str">
        <f t="shared" si="22"/>
        <v/>
      </c>
    </row>
    <row r="492" spans="1:26" s="128" customFormat="1" ht="25" hidden="1">
      <c r="A492" s="655">
        <v>10186</v>
      </c>
      <c r="B492" s="656" t="s">
        <v>33</v>
      </c>
      <c r="C492" s="655" t="s">
        <v>2793</v>
      </c>
      <c r="D492" s="656" t="s">
        <v>411</v>
      </c>
      <c r="E492" s="656" t="s">
        <v>3104</v>
      </c>
      <c r="F492" s="655">
        <v>57280</v>
      </c>
      <c r="G492" s="656" t="s">
        <v>90</v>
      </c>
      <c r="H492" s="656" t="s">
        <v>1183</v>
      </c>
      <c r="I492" s="656" t="s">
        <v>58</v>
      </c>
      <c r="J492" s="655">
        <v>22</v>
      </c>
      <c r="K492" s="655">
        <v>2</v>
      </c>
      <c r="L492" s="656" t="s">
        <v>52</v>
      </c>
      <c r="M492" s="656" t="s">
        <v>42</v>
      </c>
      <c r="N492" s="656" t="s">
        <v>43</v>
      </c>
      <c r="O492" s="656" t="s">
        <v>44</v>
      </c>
      <c r="P492" s="656" t="s">
        <v>45</v>
      </c>
      <c r="Q492" s="657">
        <v>0</v>
      </c>
      <c r="R492" s="657">
        <v>0</v>
      </c>
      <c r="S492" s="657">
        <v>0</v>
      </c>
      <c r="T492" s="657">
        <v>0</v>
      </c>
      <c r="U492" s="657">
        <v>0</v>
      </c>
      <c r="V492" s="655">
        <v>2021</v>
      </c>
      <c r="W492" s="659"/>
      <c r="X492" s="660" t="str">
        <f t="shared" si="23"/>
        <v/>
      </c>
      <c r="Y492" s="661" t="str">
        <f t="shared" si="21"/>
        <v/>
      </c>
      <c r="Z492" s="661" t="str">
        <f t="shared" si="22"/>
        <v/>
      </c>
    </row>
    <row r="493" spans="1:26" s="128" customFormat="1" ht="25" hidden="1">
      <c r="A493" s="655">
        <v>10186</v>
      </c>
      <c r="B493" s="656" t="s">
        <v>33</v>
      </c>
      <c r="C493" s="655" t="s">
        <v>2793</v>
      </c>
      <c r="D493" s="656" t="s">
        <v>411</v>
      </c>
      <c r="E493" s="656" t="s">
        <v>3104</v>
      </c>
      <c r="F493" s="655">
        <v>57280</v>
      </c>
      <c r="G493" s="656" t="s">
        <v>90</v>
      </c>
      <c r="H493" s="656" t="s">
        <v>1183</v>
      </c>
      <c r="I493" s="656" t="s">
        <v>58</v>
      </c>
      <c r="J493" s="655">
        <v>22</v>
      </c>
      <c r="K493" s="655">
        <v>2</v>
      </c>
      <c r="L493" s="656" t="s">
        <v>52</v>
      </c>
      <c r="M493" s="656" t="s">
        <v>42</v>
      </c>
      <c r="N493" s="656" t="s">
        <v>39</v>
      </c>
      <c r="O493" s="656" t="s">
        <v>39</v>
      </c>
      <c r="P493" s="656" t="s">
        <v>1037</v>
      </c>
      <c r="Q493" s="657">
        <v>0</v>
      </c>
      <c r="R493" s="657">
        <v>0</v>
      </c>
      <c r="S493" s="657">
        <v>0</v>
      </c>
      <c r="T493" s="657">
        <v>0</v>
      </c>
      <c r="U493" s="657">
        <v>0</v>
      </c>
      <c r="V493" s="655">
        <v>2021</v>
      </c>
      <c r="W493" s="659"/>
      <c r="X493" s="660" t="str">
        <f t="shared" si="23"/>
        <v/>
      </c>
      <c r="Y493" s="661" t="str">
        <f t="shared" si="21"/>
        <v/>
      </c>
      <c r="Z493" s="661" t="str">
        <f t="shared" si="22"/>
        <v/>
      </c>
    </row>
    <row r="494" spans="1:26" s="128" customFormat="1" ht="25" hidden="1">
      <c r="A494" s="655">
        <v>10186</v>
      </c>
      <c r="B494" s="656" t="s">
        <v>33</v>
      </c>
      <c r="C494" s="655" t="s">
        <v>2793</v>
      </c>
      <c r="D494" s="656" t="s">
        <v>411</v>
      </c>
      <c r="E494" s="656" t="s">
        <v>3104</v>
      </c>
      <c r="F494" s="655">
        <v>57280</v>
      </c>
      <c r="G494" s="656" t="s">
        <v>90</v>
      </c>
      <c r="H494" s="656" t="s">
        <v>1183</v>
      </c>
      <c r="I494" s="656" t="s">
        <v>58</v>
      </c>
      <c r="J494" s="655">
        <v>22</v>
      </c>
      <c r="K494" s="655">
        <v>2</v>
      </c>
      <c r="L494" s="656" t="s">
        <v>52</v>
      </c>
      <c r="M494" s="656" t="s">
        <v>42</v>
      </c>
      <c r="N494" s="656" t="s">
        <v>61</v>
      </c>
      <c r="O494" s="656" t="s">
        <v>61</v>
      </c>
      <c r="P494" s="656" t="s">
        <v>47</v>
      </c>
      <c r="Q494" s="657">
        <v>0</v>
      </c>
      <c r="R494" s="657">
        <v>0</v>
      </c>
      <c r="S494" s="657">
        <v>0</v>
      </c>
      <c r="T494" s="657">
        <v>0</v>
      </c>
      <c r="U494" s="657">
        <v>0</v>
      </c>
      <c r="V494" s="655">
        <v>2021</v>
      </c>
      <c r="W494" s="659"/>
      <c r="X494" s="660" t="str">
        <f t="shared" si="23"/>
        <v/>
      </c>
      <c r="Y494" s="661" t="str">
        <f t="shared" si="21"/>
        <v/>
      </c>
      <c r="Z494" s="661" t="str">
        <f t="shared" si="22"/>
        <v/>
      </c>
    </row>
    <row r="495" spans="1:26" s="128" customFormat="1" hidden="1">
      <c r="A495" s="655">
        <v>10190</v>
      </c>
      <c r="B495" s="656" t="s">
        <v>33</v>
      </c>
      <c r="C495" s="655" t="s">
        <v>2793</v>
      </c>
      <c r="D495" s="656" t="s">
        <v>778</v>
      </c>
      <c r="E495" s="656" t="s">
        <v>1902</v>
      </c>
      <c r="F495" s="655">
        <v>60741</v>
      </c>
      <c r="G495" s="656" t="s">
        <v>57</v>
      </c>
      <c r="H495" s="656" t="s">
        <v>1182</v>
      </c>
      <c r="I495" s="656" t="s">
        <v>58</v>
      </c>
      <c r="J495" s="655">
        <v>22</v>
      </c>
      <c r="K495" s="655">
        <v>2</v>
      </c>
      <c r="L495" s="656" t="s">
        <v>52</v>
      </c>
      <c r="M495" s="656" t="s">
        <v>38</v>
      </c>
      <c r="N495" s="656" t="s">
        <v>46</v>
      </c>
      <c r="O495" s="656" t="s">
        <v>46</v>
      </c>
      <c r="P495" s="656" t="s">
        <v>47</v>
      </c>
      <c r="Q495" s="657">
        <v>0</v>
      </c>
      <c r="R495" s="657">
        <v>0</v>
      </c>
      <c r="S495" s="657">
        <v>0</v>
      </c>
      <c r="T495" s="657">
        <v>0</v>
      </c>
      <c r="U495" s="657">
        <v>0</v>
      </c>
      <c r="V495" s="655">
        <v>2021</v>
      </c>
      <c r="W495" s="659" t="s">
        <v>3675</v>
      </c>
      <c r="X495" s="660" t="str">
        <f t="shared" si="23"/>
        <v/>
      </c>
      <c r="Y495" s="661" t="str">
        <f t="shared" si="21"/>
        <v/>
      </c>
      <c r="Z495" s="661" t="str">
        <f t="shared" si="22"/>
        <v/>
      </c>
    </row>
    <row r="496" spans="1:26" s="128" customFormat="1" hidden="1">
      <c r="A496" s="655">
        <v>10190</v>
      </c>
      <c r="B496" s="656" t="s">
        <v>33</v>
      </c>
      <c r="C496" s="655" t="s">
        <v>2793</v>
      </c>
      <c r="D496" s="656" t="s">
        <v>778</v>
      </c>
      <c r="E496" s="656" t="s">
        <v>1902</v>
      </c>
      <c r="F496" s="655">
        <v>60741</v>
      </c>
      <c r="G496" s="656" t="s">
        <v>57</v>
      </c>
      <c r="H496" s="656" t="s">
        <v>1182</v>
      </c>
      <c r="I496" s="656" t="s">
        <v>58</v>
      </c>
      <c r="J496" s="655">
        <v>22</v>
      </c>
      <c r="K496" s="655">
        <v>2</v>
      </c>
      <c r="L496" s="656" t="s">
        <v>52</v>
      </c>
      <c r="M496" s="656" t="s">
        <v>38</v>
      </c>
      <c r="N496" s="656" t="s">
        <v>39</v>
      </c>
      <c r="O496" s="656" t="s">
        <v>39</v>
      </c>
      <c r="P496" s="656" t="s">
        <v>1037</v>
      </c>
      <c r="Q496" s="657">
        <v>88951</v>
      </c>
      <c r="R496" s="657">
        <v>88951</v>
      </c>
      <c r="S496" s="657">
        <v>91618</v>
      </c>
      <c r="T496" s="657">
        <v>91618</v>
      </c>
      <c r="U496" s="657">
        <v>45768</v>
      </c>
      <c r="V496" s="655">
        <v>2021</v>
      </c>
      <c r="W496" s="659" t="s">
        <v>3675</v>
      </c>
      <c r="X496" s="660">
        <f t="shared" si="23"/>
        <v>2.0017916448173398</v>
      </c>
      <c r="Y496" s="661" t="str">
        <f t="shared" si="21"/>
        <v/>
      </c>
      <c r="Z496" s="661" t="str">
        <f t="shared" si="22"/>
        <v/>
      </c>
    </row>
    <row r="497" spans="1:26" s="128" customFormat="1" hidden="1">
      <c r="A497" s="655">
        <v>10190</v>
      </c>
      <c r="B497" s="656" t="s">
        <v>33</v>
      </c>
      <c r="C497" s="655" t="s">
        <v>2793</v>
      </c>
      <c r="D497" s="656" t="s">
        <v>778</v>
      </c>
      <c r="E497" s="656" t="s">
        <v>1902</v>
      </c>
      <c r="F497" s="655">
        <v>60741</v>
      </c>
      <c r="G497" s="656" t="s">
        <v>57</v>
      </c>
      <c r="H497" s="656" t="s">
        <v>1182</v>
      </c>
      <c r="I497" s="656" t="s">
        <v>58</v>
      </c>
      <c r="J497" s="655">
        <v>22</v>
      </c>
      <c r="K497" s="655">
        <v>2</v>
      </c>
      <c r="L497" s="656" t="s">
        <v>52</v>
      </c>
      <c r="M497" s="656" t="s">
        <v>41</v>
      </c>
      <c r="N497" s="656" t="s">
        <v>46</v>
      </c>
      <c r="O497" s="656" t="s">
        <v>46</v>
      </c>
      <c r="P497" s="656" t="s">
        <v>47</v>
      </c>
      <c r="Q497" s="657">
        <v>0</v>
      </c>
      <c r="R497" s="657">
        <v>0</v>
      </c>
      <c r="S497" s="657">
        <v>0</v>
      </c>
      <c r="T497" s="657">
        <v>0</v>
      </c>
      <c r="U497" s="657">
        <v>0</v>
      </c>
      <c r="V497" s="655">
        <v>2021</v>
      </c>
      <c r="W497" s="659" t="s">
        <v>3675</v>
      </c>
      <c r="X497" s="660" t="str">
        <f t="shared" si="23"/>
        <v/>
      </c>
      <c r="Y497" s="661" t="str">
        <f t="shared" si="21"/>
        <v/>
      </c>
      <c r="Z497" s="661" t="str">
        <f t="shared" si="22"/>
        <v/>
      </c>
    </row>
    <row r="498" spans="1:26" s="128" customFormat="1" hidden="1">
      <c r="A498" s="655">
        <v>10190</v>
      </c>
      <c r="B498" s="656" t="s">
        <v>33</v>
      </c>
      <c r="C498" s="655" t="s">
        <v>2793</v>
      </c>
      <c r="D498" s="656" t="s">
        <v>778</v>
      </c>
      <c r="E498" s="656" t="s">
        <v>1902</v>
      </c>
      <c r="F498" s="655">
        <v>60741</v>
      </c>
      <c r="G498" s="656" t="s">
        <v>57</v>
      </c>
      <c r="H498" s="656" t="s">
        <v>1182</v>
      </c>
      <c r="I498" s="656" t="s">
        <v>58</v>
      </c>
      <c r="J498" s="655">
        <v>22</v>
      </c>
      <c r="K498" s="655">
        <v>2</v>
      </c>
      <c r="L498" s="656" t="s">
        <v>52</v>
      </c>
      <c r="M498" s="656" t="s">
        <v>41</v>
      </c>
      <c r="N498" s="656" t="s">
        <v>39</v>
      </c>
      <c r="O498" s="656" t="s">
        <v>39</v>
      </c>
      <c r="P498" s="656" t="s">
        <v>1037</v>
      </c>
      <c r="Q498" s="657">
        <v>1247910</v>
      </c>
      <c r="R498" s="657">
        <v>1247910</v>
      </c>
      <c r="S498" s="657">
        <v>1285348</v>
      </c>
      <c r="T498" s="657">
        <v>1285348</v>
      </c>
      <c r="U498" s="657">
        <v>99558</v>
      </c>
      <c r="V498" s="655">
        <v>2021</v>
      </c>
      <c r="W498" s="659" t="s">
        <v>3675</v>
      </c>
      <c r="X498" s="660">
        <f t="shared" si="23"/>
        <v>12.910544607163663</v>
      </c>
      <c r="Y498" s="661" t="str">
        <f t="shared" si="21"/>
        <v/>
      </c>
      <c r="Z498" s="661" t="str">
        <f t="shared" si="22"/>
        <v/>
      </c>
    </row>
    <row r="499" spans="1:26" s="128" customFormat="1" hidden="1">
      <c r="A499" s="655">
        <v>10196</v>
      </c>
      <c r="B499" s="656" t="s">
        <v>33</v>
      </c>
      <c r="C499" s="655" t="s">
        <v>2793</v>
      </c>
      <c r="D499" s="656" t="s">
        <v>779</v>
      </c>
      <c r="E499" s="656" t="s">
        <v>1827</v>
      </c>
      <c r="F499" s="655">
        <v>60023</v>
      </c>
      <c r="G499" s="656" t="s">
        <v>57</v>
      </c>
      <c r="H499" s="656" t="s">
        <v>1182</v>
      </c>
      <c r="I499" s="656" t="s">
        <v>58</v>
      </c>
      <c r="J499" s="655">
        <v>22</v>
      </c>
      <c r="K499" s="655">
        <v>2</v>
      </c>
      <c r="L499" s="656" t="s">
        <v>52</v>
      </c>
      <c r="M499" s="656" t="s">
        <v>35</v>
      </c>
      <c r="N499" s="656" t="s">
        <v>36</v>
      </c>
      <c r="O499" s="656" t="s">
        <v>37</v>
      </c>
      <c r="P499" s="656" t="s">
        <v>1176</v>
      </c>
      <c r="Q499" s="657">
        <v>0</v>
      </c>
      <c r="R499" s="657">
        <v>0</v>
      </c>
      <c r="S499" s="657">
        <v>495128</v>
      </c>
      <c r="T499" s="657">
        <v>495128</v>
      </c>
      <c r="U499" s="657">
        <v>55991</v>
      </c>
      <c r="V499" s="655">
        <v>2021</v>
      </c>
      <c r="W499" s="659"/>
      <c r="X499" s="660">
        <f t="shared" si="23"/>
        <v>8.842992623814542</v>
      </c>
      <c r="Y499" s="661" t="str">
        <f t="shared" si="21"/>
        <v/>
      </c>
      <c r="Z499" s="661" t="str">
        <f t="shared" si="22"/>
        <v/>
      </c>
    </row>
    <row r="500" spans="1:26" s="128" customFormat="1" hidden="1">
      <c r="A500" s="655">
        <v>10197</v>
      </c>
      <c r="B500" s="656" t="s">
        <v>33</v>
      </c>
      <c r="C500" s="655" t="s">
        <v>2793</v>
      </c>
      <c r="D500" s="656" t="s">
        <v>780</v>
      </c>
      <c r="E500" s="656" t="s">
        <v>1827</v>
      </c>
      <c r="F500" s="655">
        <v>60023</v>
      </c>
      <c r="G500" s="656" t="s">
        <v>57</v>
      </c>
      <c r="H500" s="656" t="s">
        <v>1182</v>
      </c>
      <c r="I500" s="656" t="s">
        <v>58</v>
      </c>
      <c r="J500" s="655">
        <v>22</v>
      </c>
      <c r="K500" s="655">
        <v>2</v>
      </c>
      <c r="L500" s="656" t="s">
        <v>52</v>
      </c>
      <c r="M500" s="656" t="s">
        <v>35</v>
      </c>
      <c r="N500" s="656" t="s">
        <v>36</v>
      </c>
      <c r="O500" s="656" t="s">
        <v>37</v>
      </c>
      <c r="P500" s="656" t="s">
        <v>1176</v>
      </c>
      <c r="Q500" s="657">
        <v>0</v>
      </c>
      <c r="R500" s="657">
        <v>0</v>
      </c>
      <c r="S500" s="657">
        <v>49813</v>
      </c>
      <c r="T500" s="657">
        <v>49813</v>
      </c>
      <c r="U500" s="657">
        <v>5633</v>
      </c>
      <c r="V500" s="655">
        <v>2021</v>
      </c>
      <c r="W500" s="659"/>
      <c r="X500" s="660">
        <f t="shared" si="23"/>
        <v>8.8430676371382919</v>
      </c>
      <c r="Y500" s="661" t="str">
        <f t="shared" si="21"/>
        <v/>
      </c>
      <c r="Z500" s="661" t="str">
        <f t="shared" si="22"/>
        <v/>
      </c>
    </row>
    <row r="501" spans="1:26" s="128" customFormat="1" ht="25" hidden="1">
      <c r="A501" s="655">
        <v>10214</v>
      </c>
      <c r="B501" s="656" t="s">
        <v>33</v>
      </c>
      <c r="C501" s="655" t="s">
        <v>2793</v>
      </c>
      <c r="D501" s="656" t="s">
        <v>781</v>
      </c>
      <c r="E501" s="656" t="s">
        <v>3106</v>
      </c>
      <c r="F501" s="655">
        <v>64078</v>
      </c>
      <c r="G501" s="656" t="s">
        <v>57</v>
      </c>
      <c r="H501" s="656" t="s">
        <v>1182</v>
      </c>
      <c r="I501" s="656" t="s">
        <v>58</v>
      </c>
      <c r="J501" s="655">
        <v>22</v>
      </c>
      <c r="K501" s="655">
        <v>2</v>
      </c>
      <c r="L501" s="656" t="s">
        <v>52</v>
      </c>
      <c r="M501" s="656" t="s">
        <v>35</v>
      </c>
      <c r="N501" s="656" t="s">
        <v>36</v>
      </c>
      <c r="O501" s="656" t="s">
        <v>37</v>
      </c>
      <c r="P501" s="656" t="s">
        <v>1176</v>
      </c>
      <c r="Q501" s="657">
        <v>0</v>
      </c>
      <c r="R501" s="657">
        <v>0</v>
      </c>
      <c r="S501" s="657">
        <v>195032</v>
      </c>
      <c r="T501" s="657">
        <v>195032</v>
      </c>
      <c r="U501" s="657">
        <v>22055</v>
      </c>
      <c r="V501" s="655">
        <v>2021</v>
      </c>
      <c r="W501" s="659"/>
      <c r="X501" s="660">
        <f t="shared" si="23"/>
        <v>8.8429834504647467</v>
      </c>
      <c r="Y501" s="661" t="str">
        <f t="shared" si="21"/>
        <v/>
      </c>
      <c r="Z501" s="661" t="str">
        <f t="shared" si="22"/>
        <v/>
      </c>
    </row>
    <row r="502" spans="1:26" s="128" customFormat="1" ht="25" hidden="1">
      <c r="A502" s="655">
        <v>10218</v>
      </c>
      <c r="B502" s="656" t="s">
        <v>33</v>
      </c>
      <c r="C502" s="655" t="s">
        <v>2793</v>
      </c>
      <c r="D502" s="656" t="s">
        <v>782</v>
      </c>
      <c r="E502" s="656" t="s">
        <v>783</v>
      </c>
      <c r="F502" s="655">
        <v>55754</v>
      </c>
      <c r="G502" s="656" t="s">
        <v>57</v>
      </c>
      <c r="H502" s="656" t="s">
        <v>1182</v>
      </c>
      <c r="I502" s="656" t="s">
        <v>58</v>
      </c>
      <c r="J502" s="655">
        <v>22</v>
      </c>
      <c r="K502" s="655">
        <v>2</v>
      </c>
      <c r="L502" s="656" t="s">
        <v>52</v>
      </c>
      <c r="M502" s="656" t="s">
        <v>35</v>
      </c>
      <c r="N502" s="656" t="s">
        <v>36</v>
      </c>
      <c r="O502" s="656" t="s">
        <v>37</v>
      </c>
      <c r="P502" s="656" t="s">
        <v>1176</v>
      </c>
      <c r="Q502" s="657">
        <v>0</v>
      </c>
      <c r="R502" s="657">
        <v>0</v>
      </c>
      <c r="S502" s="657">
        <v>107868</v>
      </c>
      <c r="T502" s="657">
        <v>107868</v>
      </c>
      <c r="U502" s="657">
        <v>12198</v>
      </c>
      <c r="V502" s="655">
        <v>2021</v>
      </c>
      <c r="W502" s="659"/>
      <c r="X502" s="660">
        <f t="shared" si="23"/>
        <v>8.8430890309886863</v>
      </c>
      <c r="Y502" s="661" t="str">
        <f t="shared" si="21"/>
        <v/>
      </c>
      <c r="Z502" s="661" t="str">
        <f t="shared" si="22"/>
        <v/>
      </c>
    </row>
    <row r="503" spans="1:26" s="128" customFormat="1" ht="25" hidden="1">
      <c r="A503" s="655">
        <v>10219</v>
      </c>
      <c r="B503" s="656" t="s">
        <v>33</v>
      </c>
      <c r="C503" s="655" t="s">
        <v>2793</v>
      </c>
      <c r="D503" s="656" t="s">
        <v>784</v>
      </c>
      <c r="E503" s="656" t="s">
        <v>783</v>
      </c>
      <c r="F503" s="655">
        <v>55754</v>
      </c>
      <c r="G503" s="656" t="s">
        <v>57</v>
      </c>
      <c r="H503" s="656" t="s">
        <v>1182</v>
      </c>
      <c r="I503" s="656" t="s">
        <v>58</v>
      </c>
      <c r="J503" s="655">
        <v>22</v>
      </c>
      <c r="K503" s="655">
        <v>2</v>
      </c>
      <c r="L503" s="656" t="s">
        <v>52</v>
      </c>
      <c r="M503" s="656" t="s">
        <v>35</v>
      </c>
      <c r="N503" s="656" t="s">
        <v>36</v>
      </c>
      <c r="O503" s="656" t="s">
        <v>37</v>
      </c>
      <c r="P503" s="656" t="s">
        <v>1176</v>
      </c>
      <c r="Q503" s="657">
        <v>0</v>
      </c>
      <c r="R503" s="657">
        <v>0</v>
      </c>
      <c r="S503" s="657">
        <v>129833</v>
      </c>
      <c r="T503" s="657">
        <v>129833</v>
      </c>
      <c r="U503" s="657">
        <v>14682</v>
      </c>
      <c r="V503" s="655">
        <v>2021</v>
      </c>
      <c r="W503" s="659"/>
      <c r="X503" s="660">
        <f t="shared" si="23"/>
        <v>8.8430050401852611</v>
      </c>
      <c r="Y503" s="661" t="str">
        <f t="shared" si="21"/>
        <v/>
      </c>
      <c r="Z503" s="661" t="str">
        <f t="shared" si="22"/>
        <v/>
      </c>
    </row>
    <row r="504" spans="1:26" s="128" customFormat="1" ht="25" hidden="1">
      <c r="A504" s="655">
        <v>10220</v>
      </c>
      <c r="B504" s="656" t="s">
        <v>33</v>
      </c>
      <c r="C504" s="655" t="s">
        <v>2793</v>
      </c>
      <c r="D504" s="656" t="s">
        <v>785</v>
      </c>
      <c r="E504" s="656" t="s">
        <v>783</v>
      </c>
      <c r="F504" s="655">
        <v>55754</v>
      </c>
      <c r="G504" s="656" t="s">
        <v>57</v>
      </c>
      <c r="H504" s="656" t="s">
        <v>1182</v>
      </c>
      <c r="I504" s="656" t="s">
        <v>58</v>
      </c>
      <c r="J504" s="655">
        <v>22</v>
      </c>
      <c r="K504" s="655">
        <v>2</v>
      </c>
      <c r="L504" s="656" t="s">
        <v>52</v>
      </c>
      <c r="M504" s="656" t="s">
        <v>35</v>
      </c>
      <c r="N504" s="656" t="s">
        <v>36</v>
      </c>
      <c r="O504" s="656" t="s">
        <v>37</v>
      </c>
      <c r="P504" s="656" t="s">
        <v>1176</v>
      </c>
      <c r="Q504" s="657">
        <v>0</v>
      </c>
      <c r="R504" s="657">
        <v>0</v>
      </c>
      <c r="S504" s="657">
        <v>117320</v>
      </c>
      <c r="T504" s="657">
        <v>117320</v>
      </c>
      <c r="U504" s="657">
        <v>13267</v>
      </c>
      <c r="V504" s="655">
        <v>2021</v>
      </c>
      <c r="W504" s="659"/>
      <c r="X504" s="660">
        <f t="shared" si="23"/>
        <v>8.8429938946257636</v>
      </c>
      <c r="Y504" s="661" t="str">
        <f t="shared" si="21"/>
        <v/>
      </c>
      <c r="Z504" s="661" t="str">
        <f t="shared" si="22"/>
        <v/>
      </c>
    </row>
    <row r="505" spans="1:26" s="128" customFormat="1" ht="25" hidden="1">
      <c r="A505" s="655">
        <v>10221</v>
      </c>
      <c r="B505" s="656" t="s">
        <v>33</v>
      </c>
      <c r="C505" s="655" t="s">
        <v>2793</v>
      </c>
      <c r="D505" s="656" t="s">
        <v>786</v>
      </c>
      <c r="E505" s="656" t="s">
        <v>783</v>
      </c>
      <c r="F505" s="655">
        <v>55754</v>
      </c>
      <c r="G505" s="656" t="s">
        <v>57</v>
      </c>
      <c r="H505" s="656" t="s">
        <v>1182</v>
      </c>
      <c r="I505" s="656" t="s">
        <v>58</v>
      </c>
      <c r="J505" s="655">
        <v>22</v>
      </c>
      <c r="K505" s="655">
        <v>2</v>
      </c>
      <c r="L505" s="656" t="s">
        <v>52</v>
      </c>
      <c r="M505" s="656" t="s">
        <v>35</v>
      </c>
      <c r="N505" s="656" t="s">
        <v>36</v>
      </c>
      <c r="O505" s="656" t="s">
        <v>37</v>
      </c>
      <c r="P505" s="656" t="s">
        <v>1176</v>
      </c>
      <c r="Q505" s="657">
        <v>0</v>
      </c>
      <c r="R505" s="657">
        <v>0</v>
      </c>
      <c r="S505" s="657">
        <v>465157</v>
      </c>
      <c r="T505" s="657">
        <v>465157</v>
      </c>
      <c r="U505" s="657">
        <v>52602</v>
      </c>
      <c r="V505" s="655">
        <v>2021</v>
      </c>
      <c r="W505" s="659"/>
      <c r="X505" s="660">
        <f t="shared" si="23"/>
        <v>8.8429527394395642</v>
      </c>
      <c r="Y505" s="661" t="str">
        <f t="shared" si="21"/>
        <v/>
      </c>
      <c r="Z505" s="661" t="str">
        <f t="shared" si="22"/>
        <v/>
      </c>
    </row>
    <row r="506" spans="1:26" s="128" customFormat="1" hidden="1">
      <c r="A506" s="655">
        <v>10237</v>
      </c>
      <c r="B506" s="656" t="s">
        <v>33</v>
      </c>
      <c r="C506" s="655" t="s">
        <v>2793</v>
      </c>
      <c r="D506" s="656" t="s">
        <v>787</v>
      </c>
      <c r="E506" s="656" t="s">
        <v>1827</v>
      </c>
      <c r="F506" s="655">
        <v>60023</v>
      </c>
      <c r="G506" s="656" t="s">
        <v>57</v>
      </c>
      <c r="H506" s="656" t="s">
        <v>1182</v>
      </c>
      <c r="I506" s="656" t="s">
        <v>58</v>
      </c>
      <c r="J506" s="655">
        <v>22</v>
      </c>
      <c r="K506" s="655">
        <v>2</v>
      </c>
      <c r="L506" s="656" t="s">
        <v>52</v>
      </c>
      <c r="M506" s="656" t="s">
        <v>35</v>
      </c>
      <c r="N506" s="656" t="s">
        <v>36</v>
      </c>
      <c r="O506" s="656" t="s">
        <v>37</v>
      </c>
      <c r="P506" s="656" t="s">
        <v>1176</v>
      </c>
      <c r="Q506" s="657">
        <v>0</v>
      </c>
      <c r="R506" s="657">
        <v>0</v>
      </c>
      <c r="S506" s="657">
        <v>53711</v>
      </c>
      <c r="T506" s="657">
        <v>53711</v>
      </c>
      <c r="U506" s="657">
        <v>6074</v>
      </c>
      <c r="V506" s="655">
        <v>2021</v>
      </c>
      <c r="W506" s="659"/>
      <c r="X506" s="660">
        <f t="shared" si="23"/>
        <v>8.8427724728350352</v>
      </c>
      <c r="Y506" s="661" t="str">
        <f t="shared" si="21"/>
        <v/>
      </c>
      <c r="Z506" s="661" t="str">
        <f t="shared" si="22"/>
        <v/>
      </c>
    </row>
    <row r="507" spans="1:26" s="128" customFormat="1" hidden="1">
      <c r="A507" s="655">
        <v>10238</v>
      </c>
      <c r="B507" s="656" t="s">
        <v>33</v>
      </c>
      <c r="C507" s="655" t="s">
        <v>2793</v>
      </c>
      <c r="D507" s="656" t="s">
        <v>788</v>
      </c>
      <c r="E507" s="656" t="s">
        <v>1827</v>
      </c>
      <c r="F507" s="655">
        <v>60023</v>
      </c>
      <c r="G507" s="656" t="s">
        <v>57</v>
      </c>
      <c r="H507" s="656" t="s">
        <v>1182</v>
      </c>
      <c r="I507" s="656" t="s">
        <v>58</v>
      </c>
      <c r="J507" s="655">
        <v>22</v>
      </c>
      <c r="K507" s="655">
        <v>2</v>
      </c>
      <c r="L507" s="656" t="s">
        <v>52</v>
      </c>
      <c r="M507" s="656" t="s">
        <v>35</v>
      </c>
      <c r="N507" s="656" t="s">
        <v>36</v>
      </c>
      <c r="O507" s="656" t="s">
        <v>37</v>
      </c>
      <c r="P507" s="656" t="s">
        <v>1176</v>
      </c>
      <c r="Q507" s="657">
        <v>0</v>
      </c>
      <c r="R507" s="657">
        <v>0</v>
      </c>
      <c r="S507" s="657">
        <v>106550</v>
      </c>
      <c r="T507" s="657">
        <v>106550</v>
      </c>
      <c r="U507" s="657">
        <v>12049</v>
      </c>
      <c r="V507" s="655">
        <v>2021</v>
      </c>
      <c r="W507" s="659"/>
      <c r="X507" s="660">
        <f t="shared" si="23"/>
        <v>8.8430575151464854</v>
      </c>
      <c r="Y507" s="661" t="str">
        <f t="shared" si="21"/>
        <v/>
      </c>
      <c r="Z507" s="661" t="str">
        <f t="shared" si="22"/>
        <v/>
      </c>
    </row>
    <row r="508" spans="1:26" s="128" customFormat="1" ht="25" hidden="1">
      <c r="A508" s="655">
        <v>10255</v>
      </c>
      <c r="B508" s="656" t="s">
        <v>33</v>
      </c>
      <c r="C508" s="655" t="s">
        <v>2793</v>
      </c>
      <c r="D508" s="656" t="s">
        <v>1828</v>
      </c>
      <c r="E508" s="656" t="s">
        <v>1567</v>
      </c>
      <c r="F508" s="655">
        <v>59178</v>
      </c>
      <c r="G508" s="656" t="s">
        <v>90</v>
      </c>
      <c r="H508" s="656" t="s">
        <v>1183</v>
      </c>
      <c r="I508" s="656" t="s">
        <v>58</v>
      </c>
      <c r="J508" s="655">
        <v>22</v>
      </c>
      <c r="K508" s="655">
        <v>2</v>
      </c>
      <c r="L508" s="656" t="s">
        <v>52</v>
      </c>
      <c r="M508" s="656" t="s">
        <v>35</v>
      </c>
      <c r="N508" s="656" t="s">
        <v>36</v>
      </c>
      <c r="O508" s="656" t="s">
        <v>37</v>
      </c>
      <c r="P508" s="656" t="s">
        <v>1176</v>
      </c>
      <c r="Q508" s="657">
        <v>0</v>
      </c>
      <c r="R508" s="657">
        <v>0</v>
      </c>
      <c r="S508" s="657">
        <v>742325</v>
      </c>
      <c r="T508" s="657">
        <v>742325</v>
      </c>
      <c r="U508" s="657">
        <v>83945</v>
      </c>
      <c r="V508" s="655">
        <v>2021</v>
      </c>
      <c r="W508" s="659"/>
      <c r="X508" s="660">
        <f t="shared" si="23"/>
        <v>8.842992435523259</v>
      </c>
      <c r="Y508" s="661" t="str">
        <f t="shared" si="21"/>
        <v/>
      </c>
      <c r="Z508" s="661" t="str">
        <f t="shared" si="22"/>
        <v/>
      </c>
    </row>
    <row r="509" spans="1:26" s="128" customFormat="1" ht="25" hidden="1">
      <c r="A509" s="655">
        <v>10276</v>
      </c>
      <c r="B509" s="656" t="s">
        <v>33</v>
      </c>
      <c r="C509" s="655" t="s">
        <v>2793</v>
      </c>
      <c r="D509" s="656" t="s">
        <v>1686</v>
      </c>
      <c r="E509" s="656" t="s">
        <v>3104</v>
      </c>
      <c r="F509" s="655">
        <v>57280</v>
      </c>
      <c r="G509" s="656" t="s">
        <v>96</v>
      </c>
      <c r="H509" s="656" t="s">
        <v>1183</v>
      </c>
      <c r="I509" s="656" t="s">
        <v>58</v>
      </c>
      <c r="J509" s="655">
        <v>22</v>
      </c>
      <c r="K509" s="655">
        <v>2</v>
      </c>
      <c r="L509" s="656" t="s">
        <v>52</v>
      </c>
      <c r="M509" s="656" t="s">
        <v>35</v>
      </c>
      <c r="N509" s="656" t="s">
        <v>36</v>
      </c>
      <c r="O509" s="656" t="s">
        <v>37</v>
      </c>
      <c r="P509" s="656" t="s">
        <v>1176</v>
      </c>
      <c r="Q509" s="657">
        <v>0</v>
      </c>
      <c r="R509" s="657">
        <v>0</v>
      </c>
      <c r="S509" s="657">
        <v>77757</v>
      </c>
      <c r="T509" s="657">
        <v>77757</v>
      </c>
      <c r="U509" s="657">
        <v>8793</v>
      </c>
      <c r="V509" s="655">
        <v>2021</v>
      </c>
      <c r="W509" s="659"/>
      <c r="X509" s="660">
        <f t="shared" si="23"/>
        <v>8.8430569771409075</v>
      </c>
      <c r="Y509" s="661" t="str">
        <f t="shared" si="21"/>
        <v/>
      </c>
      <c r="Z509" s="661" t="str">
        <f t="shared" si="22"/>
        <v/>
      </c>
    </row>
    <row r="510" spans="1:26" s="128" customFormat="1" ht="25" hidden="1">
      <c r="A510" s="655">
        <v>10286</v>
      </c>
      <c r="B510" s="656" t="s">
        <v>33</v>
      </c>
      <c r="C510" s="655" t="s">
        <v>2793</v>
      </c>
      <c r="D510" s="656" t="s">
        <v>789</v>
      </c>
      <c r="E510" s="656" t="s">
        <v>789</v>
      </c>
      <c r="F510" s="655">
        <v>4386</v>
      </c>
      <c r="G510" s="656" t="s">
        <v>57</v>
      </c>
      <c r="H510" s="656" t="s">
        <v>1182</v>
      </c>
      <c r="I510" s="656" t="s">
        <v>58</v>
      </c>
      <c r="J510" s="655">
        <v>611</v>
      </c>
      <c r="K510" s="655">
        <v>4</v>
      </c>
      <c r="L510" s="656" t="s">
        <v>412</v>
      </c>
      <c r="M510" s="656" t="s">
        <v>35</v>
      </c>
      <c r="N510" s="656" t="s">
        <v>36</v>
      </c>
      <c r="O510" s="656" t="s">
        <v>37</v>
      </c>
      <c r="P510" s="656" t="s">
        <v>1176</v>
      </c>
      <c r="Q510" s="657">
        <v>0</v>
      </c>
      <c r="R510" s="657">
        <v>0</v>
      </c>
      <c r="S510" s="657">
        <v>70301</v>
      </c>
      <c r="T510" s="657">
        <v>70301</v>
      </c>
      <c r="U510" s="657">
        <v>7950</v>
      </c>
      <c r="V510" s="655">
        <v>2021</v>
      </c>
      <c r="W510" s="659"/>
      <c r="X510" s="660" t="str">
        <f t="shared" si="23"/>
        <v/>
      </c>
      <c r="Y510" s="661" t="str">
        <f t="shared" si="21"/>
        <v/>
      </c>
      <c r="Z510" s="661" t="str">
        <f t="shared" si="22"/>
        <v/>
      </c>
    </row>
    <row r="511" spans="1:26" s="128" customFormat="1" hidden="1">
      <c r="A511" s="655">
        <v>10290</v>
      </c>
      <c r="B511" s="656" t="s">
        <v>33</v>
      </c>
      <c r="C511" s="655" t="s">
        <v>2793</v>
      </c>
      <c r="D511" s="656" t="s">
        <v>790</v>
      </c>
      <c r="E511" s="656" t="s">
        <v>791</v>
      </c>
      <c r="F511" s="655">
        <v>2226</v>
      </c>
      <c r="G511" s="656" t="s">
        <v>96</v>
      </c>
      <c r="H511" s="656" t="s">
        <v>1183</v>
      </c>
      <c r="I511" s="656" t="s">
        <v>58</v>
      </c>
      <c r="J511" s="655">
        <v>22</v>
      </c>
      <c r="K511" s="655">
        <v>2</v>
      </c>
      <c r="L511" s="656" t="s">
        <v>52</v>
      </c>
      <c r="M511" s="656" t="s">
        <v>42</v>
      </c>
      <c r="N511" s="656" t="s">
        <v>46</v>
      </c>
      <c r="O511" s="656" t="s">
        <v>46</v>
      </c>
      <c r="P511" s="656" t="s">
        <v>47</v>
      </c>
      <c r="Q511" s="657">
        <v>402</v>
      </c>
      <c r="R511" s="657">
        <v>402</v>
      </c>
      <c r="S511" s="657">
        <v>2314</v>
      </c>
      <c r="T511" s="657">
        <v>2314</v>
      </c>
      <c r="U511" s="657">
        <v>146.79400000000001</v>
      </c>
      <c r="V511" s="655">
        <v>2021</v>
      </c>
      <c r="W511" s="659"/>
      <c r="X511" s="660">
        <f t="shared" si="23"/>
        <v>15.763587067591317</v>
      </c>
      <c r="Y511" s="661" t="str">
        <f t="shared" si="21"/>
        <v/>
      </c>
      <c r="Z511" s="661" t="str">
        <f t="shared" si="22"/>
        <v/>
      </c>
    </row>
    <row r="512" spans="1:26" s="128" customFormat="1" hidden="1">
      <c r="A512" s="655">
        <v>10290</v>
      </c>
      <c r="B512" s="656" t="s">
        <v>33</v>
      </c>
      <c r="C512" s="655" t="s">
        <v>2793</v>
      </c>
      <c r="D512" s="656" t="s">
        <v>790</v>
      </c>
      <c r="E512" s="656" t="s">
        <v>791</v>
      </c>
      <c r="F512" s="655">
        <v>2226</v>
      </c>
      <c r="G512" s="656" t="s">
        <v>96</v>
      </c>
      <c r="H512" s="656" t="s">
        <v>1183</v>
      </c>
      <c r="I512" s="656" t="s">
        <v>58</v>
      </c>
      <c r="J512" s="655">
        <v>22</v>
      </c>
      <c r="K512" s="655">
        <v>2</v>
      </c>
      <c r="L512" s="656" t="s">
        <v>52</v>
      </c>
      <c r="M512" s="656" t="s">
        <v>42</v>
      </c>
      <c r="N512" s="656" t="s">
        <v>69</v>
      </c>
      <c r="O512" s="656" t="s">
        <v>70</v>
      </c>
      <c r="P512" s="656" t="s">
        <v>45</v>
      </c>
      <c r="Q512" s="657">
        <v>216993</v>
      </c>
      <c r="R512" s="657">
        <v>216993</v>
      </c>
      <c r="S512" s="657">
        <v>1844445</v>
      </c>
      <c r="T512" s="657">
        <v>1844445</v>
      </c>
      <c r="U512" s="657">
        <v>117161.21</v>
      </c>
      <c r="V512" s="655">
        <v>2021</v>
      </c>
      <c r="W512" s="659"/>
      <c r="X512" s="660">
        <f t="shared" si="23"/>
        <v>15.742795759791145</v>
      </c>
      <c r="Y512" s="661" t="str">
        <f t="shared" si="21"/>
        <v/>
      </c>
      <c r="Z512" s="661" t="str">
        <f t="shared" si="22"/>
        <v/>
      </c>
    </row>
    <row r="513" spans="1:26" s="128" customFormat="1" ht="25" hidden="1">
      <c r="A513" s="655">
        <v>10305</v>
      </c>
      <c r="B513" s="656" t="s">
        <v>54</v>
      </c>
      <c r="C513" s="655" t="s">
        <v>2793</v>
      </c>
      <c r="D513" s="656" t="s">
        <v>1050</v>
      </c>
      <c r="E513" s="656" t="s">
        <v>1105</v>
      </c>
      <c r="F513" s="655">
        <v>12834</v>
      </c>
      <c r="G513" s="656" t="s">
        <v>57</v>
      </c>
      <c r="H513" s="656" t="s">
        <v>1182</v>
      </c>
      <c r="I513" s="656" t="s">
        <v>58</v>
      </c>
      <c r="J513" s="655">
        <v>562213</v>
      </c>
      <c r="K513" s="655">
        <v>5</v>
      </c>
      <c r="L513" s="656" t="s">
        <v>413</v>
      </c>
      <c r="M513" s="656" t="s">
        <v>42</v>
      </c>
      <c r="N513" s="656" t="s">
        <v>46</v>
      </c>
      <c r="O513" s="656" t="s">
        <v>46</v>
      </c>
      <c r="P513" s="656" t="s">
        <v>47</v>
      </c>
      <c r="Q513" s="657">
        <v>0</v>
      </c>
      <c r="R513" s="657">
        <v>0</v>
      </c>
      <c r="S513" s="657">
        <v>0</v>
      </c>
      <c r="T513" s="657">
        <v>0</v>
      </c>
      <c r="U513" s="657">
        <v>0</v>
      </c>
      <c r="V513" s="655">
        <v>2021</v>
      </c>
      <c r="W513" s="659"/>
      <c r="X513" s="660" t="str">
        <f t="shared" si="23"/>
        <v/>
      </c>
      <c r="Y513" s="661" t="str">
        <f t="shared" si="21"/>
        <v/>
      </c>
      <c r="Z513" s="661" t="str">
        <f t="shared" si="22"/>
        <v/>
      </c>
    </row>
    <row r="514" spans="1:26" s="128" customFormat="1" ht="25" hidden="1">
      <c r="A514" s="655">
        <v>10305</v>
      </c>
      <c r="B514" s="656" t="s">
        <v>54</v>
      </c>
      <c r="C514" s="655" t="s">
        <v>2793</v>
      </c>
      <c r="D514" s="656" t="s">
        <v>1050</v>
      </c>
      <c r="E514" s="656" t="s">
        <v>1105</v>
      </c>
      <c r="F514" s="655">
        <v>12834</v>
      </c>
      <c r="G514" s="656" t="s">
        <v>57</v>
      </c>
      <c r="H514" s="656" t="s">
        <v>1182</v>
      </c>
      <c r="I514" s="656" t="s">
        <v>58</v>
      </c>
      <c r="J514" s="655">
        <v>562213</v>
      </c>
      <c r="K514" s="655">
        <v>5</v>
      </c>
      <c r="L514" s="656" t="s">
        <v>413</v>
      </c>
      <c r="M514" s="656" t="s">
        <v>42</v>
      </c>
      <c r="N514" s="656" t="s">
        <v>16</v>
      </c>
      <c r="O514" s="656" t="s">
        <v>64</v>
      </c>
      <c r="P514" s="656" t="s">
        <v>45</v>
      </c>
      <c r="Q514" s="657">
        <v>90611</v>
      </c>
      <c r="R514" s="657">
        <v>87013</v>
      </c>
      <c r="S514" s="657">
        <v>601566</v>
      </c>
      <c r="T514" s="657">
        <v>577680</v>
      </c>
      <c r="U514" s="657">
        <v>17566.344000000001</v>
      </c>
      <c r="V514" s="655">
        <v>2021</v>
      </c>
      <c r="W514" s="659"/>
      <c r="X514" s="660" t="str">
        <f t="shared" si="23"/>
        <v/>
      </c>
      <c r="Y514" s="661" t="str">
        <f t="shared" si="21"/>
        <v/>
      </c>
      <c r="Z514" s="661" t="str">
        <f t="shared" si="22"/>
        <v/>
      </c>
    </row>
    <row r="515" spans="1:26" s="128" customFormat="1" ht="25" hidden="1">
      <c r="A515" s="655">
        <v>10305</v>
      </c>
      <c r="B515" s="656" t="s">
        <v>54</v>
      </c>
      <c r="C515" s="655" t="s">
        <v>2793</v>
      </c>
      <c r="D515" s="656" t="s">
        <v>1050</v>
      </c>
      <c r="E515" s="656" t="s">
        <v>1105</v>
      </c>
      <c r="F515" s="655">
        <v>12834</v>
      </c>
      <c r="G515" s="656" t="s">
        <v>57</v>
      </c>
      <c r="H515" s="656" t="s">
        <v>1182</v>
      </c>
      <c r="I515" s="656" t="s">
        <v>58</v>
      </c>
      <c r="J515" s="655">
        <v>562213</v>
      </c>
      <c r="K515" s="655">
        <v>5</v>
      </c>
      <c r="L515" s="656" t="s">
        <v>413</v>
      </c>
      <c r="M515" s="656" t="s">
        <v>42</v>
      </c>
      <c r="N515" s="656" t="s">
        <v>17</v>
      </c>
      <c r="O515" s="656" t="s">
        <v>82</v>
      </c>
      <c r="P515" s="656" t="s">
        <v>45</v>
      </c>
      <c r="Q515" s="657">
        <v>57931</v>
      </c>
      <c r="R515" s="657">
        <v>55631</v>
      </c>
      <c r="S515" s="657">
        <v>735261</v>
      </c>
      <c r="T515" s="657">
        <v>706065</v>
      </c>
      <c r="U515" s="657">
        <v>21470.339</v>
      </c>
      <c r="V515" s="655">
        <v>2021</v>
      </c>
      <c r="W515" s="659"/>
      <c r="X515" s="660" t="str">
        <f t="shared" si="23"/>
        <v/>
      </c>
      <c r="Y515" s="661" t="str">
        <f t="shared" si="21"/>
        <v/>
      </c>
      <c r="Z515" s="661" t="str">
        <f t="shared" si="22"/>
        <v/>
      </c>
    </row>
    <row r="516" spans="1:26" s="128" customFormat="1" ht="25" hidden="1">
      <c r="A516" s="655">
        <v>10305</v>
      </c>
      <c r="B516" s="656" t="s">
        <v>54</v>
      </c>
      <c r="C516" s="655" t="s">
        <v>2793</v>
      </c>
      <c r="D516" s="656" t="s">
        <v>1050</v>
      </c>
      <c r="E516" s="656" t="s">
        <v>1105</v>
      </c>
      <c r="F516" s="655">
        <v>12834</v>
      </c>
      <c r="G516" s="656" t="s">
        <v>57</v>
      </c>
      <c r="H516" s="656" t="s">
        <v>1182</v>
      </c>
      <c r="I516" s="656" t="s">
        <v>58</v>
      </c>
      <c r="J516" s="655">
        <v>562213</v>
      </c>
      <c r="K516" s="655">
        <v>5</v>
      </c>
      <c r="L516" s="656" t="s">
        <v>413</v>
      </c>
      <c r="M516" s="656" t="s">
        <v>42</v>
      </c>
      <c r="N516" s="656" t="s">
        <v>39</v>
      </c>
      <c r="O516" s="656" t="s">
        <v>39</v>
      </c>
      <c r="P516" s="656" t="s">
        <v>1037</v>
      </c>
      <c r="Q516" s="657">
        <v>43571</v>
      </c>
      <c r="R516" s="657">
        <v>41843</v>
      </c>
      <c r="S516" s="657">
        <v>43571</v>
      </c>
      <c r="T516" s="657">
        <v>41843</v>
      </c>
      <c r="U516" s="657">
        <v>1272.317</v>
      </c>
      <c r="V516" s="655">
        <v>2021</v>
      </c>
      <c r="W516" s="659"/>
      <c r="X516" s="660" t="str">
        <f t="shared" si="23"/>
        <v/>
      </c>
      <c r="Y516" s="661" t="str">
        <f t="shared" si="21"/>
        <v/>
      </c>
      <c r="Z516" s="661" t="str">
        <f t="shared" si="22"/>
        <v/>
      </c>
    </row>
    <row r="517" spans="1:26" s="128" customFormat="1" ht="25">
      <c r="A517" s="655">
        <v>10307</v>
      </c>
      <c r="B517" s="656" t="s">
        <v>33</v>
      </c>
      <c r="C517" s="655" t="s">
        <v>2793</v>
      </c>
      <c r="D517" s="656" t="s">
        <v>156</v>
      </c>
      <c r="E517" s="656" t="s">
        <v>157</v>
      </c>
      <c r="F517" s="655">
        <v>21970</v>
      </c>
      <c r="G517" s="656" t="s">
        <v>81</v>
      </c>
      <c r="H517" s="656" t="s">
        <v>1183</v>
      </c>
      <c r="I517" s="656" t="s">
        <v>58</v>
      </c>
      <c r="J517" s="655">
        <v>22</v>
      </c>
      <c r="K517" s="655">
        <v>2</v>
      </c>
      <c r="L517" s="656" t="s">
        <v>52</v>
      </c>
      <c r="M517" s="656" t="s">
        <v>38</v>
      </c>
      <c r="N517" s="656" t="s">
        <v>46</v>
      </c>
      <c r="O517" s="656" t="s">
        <v>46</v>
      </c>
      <c r="P517" s="656" t="s">
        <v>47</v>
      </c>
      <c r="Q517" s="657">
        <v>0</v>
      </c>
      <c r="R517" s="657">
        <v>0</v>
      </c>
      <c r="S517" s="657">
        <v>0</v>
      </c>
      <c r="T517" s="657">
        <v>0</v>
      </c>
      <c r="U517" s="657">
        <v>144.87899999999999</v>
      </c>
      <c r="V517" s="655">
        <v>2021</v>
      </c>
      <c r="W517" s="659" t="s">
        <v>3675</v>
      </c>
      <c r="X517" s="660" t="str">
        <f t="shared" si="23"/>
        <v/>
      </c>
      <c r="Y517" s="661" t="str">
        <f t="shared" si="21"/>
        <v/>
      </c>
      <c r="Z517" s="661" t="str">
        <f t="shared" si="22"/>
        <v/>
      </c>
    </row>
    <row r="518" spans="1:26" s="128" customFormat="1" ht="25">
      <c r="A518" s="655">
        <v>10307</v>
      </c>
      <c r="B518" s="656" t="s">
        <v>33</v>
      </c>
      <c r="C518" s="655" t="s">
        <v>2793</v>
      </c>
      <c r="D518" s="656" t="s">
        <v>156</v>
      </c>
      <c r="E518" s="656" t="s">
        <v>157</v>
      </c>
      <c r="F518" s="655">
        <v>21970</v>
      </c>
      <c r="G518" s="656" t="s">
        <v>81</v>
      </c>
      <c r="H518" s="656" t="s">
        <v>1183</v>
      </c>
      <c r="I518" s="656" t="s">
        <v>58</v>
      </c>
      <c r="J518" s="655">
        <v>22</v>
      </c>
      <c r="K518" s="655">
        <v>2</v>
      </c>
      <c r="L518" s="656" t="s">
        <v>52</v>
      </c>
      <c r="M518" s="656" t="s">
        <v>38</v>
      </c>
      <c r="N518" s="656" t="s">
        <v>39</v>
      </c>
      <c r="O518" s="656" t="s">
        <v>39</v>
      </c>
      <c r="P518" s="656" t="s">
        <v>1037</v>
      </c>
      <c r="Q518" s="657">
        <v>0</v>
      </c>
      <c r="R518" s="657">
        <v>0</v>
      </c>
      <c r="S518" s="657">
        <v>0</v>
      </c>
      <c r="T518" s="657">
        <v>0</v>
      </c>
      <c r="U518" s="657">
        <v>34594.120999999999</v>
      </c>
      <c r="V518" s="655">
        <v>2021</v>
      </c>
      <c r="W518" s="659" t="s">
        <v>3675</v>
      </c>
      <c r="X518" s="660" t="str">
        <f t="shared" si="23"/>
        <v/>
      </c>
      <c r="Y518" s="661" t="str">
        <f t="shared" si="21"/>
        <v/>
      </c>
      <c r="Z518" s="661" t="str">
        <f t="shared" si="22"/>
        <v/>
      </c>
    </row>
    <row r="519" spans="1:26" s="128" customFormat="1" ht="25">
      <c r="A519" s="655">
        <v>10307</v>
      </c>
      <c r="B519" s="656" t="s">
        <v>33</v>
      </c>
      <c r="C519" s="655" t="s">
        <v>2793</v>
      </c>
      <c r="D519" s="656" t="s">
        <v>156</v>
      </c>
      <c r="E519" s="656" t="s">
        <v>157</v>
      </c>
      <c r="F519" s="655">
        <v>21970</v>
      </c>
      <c r="G519" s="656" t="s">
        <v>81</v>
      </c>
      <c r="H519" s="656" t="s">
        <v>1183</v>
      </c>
      <c r="I519" s="656" t="s">
        <v>58</v>
      </c>
      <c r="J519" s="655">
        <v>22</v>
      </c>
      <c r="K519" s="655">
        <v>2</v>
      </c>
      <c r="L519" s="656" t="s">
        <v>52</v>
      </c>
      <c r="M519" s="656" t="s">
        <v>41</v>
      </c>
      <c r="N519" s="656" t="s">
        <v>46</v>
      </c>
      <c r="O519" s="656" t="s">
        <v>46</v>
      </c>
      <c r="P519" s="656" t="s">
        <v>47</v>
      </c>
      <c r="Q519" s="657">
        <v>800</v>
      </c>
      <c r="R519" s="657">
        <v>800</v>
      </c>
      <c r="S519" s="657">
        <v>4624</v>
      </c>
      <c r="T519" s="657">
        <v>4624</v>
      </c>
      <c r="U519" s="657">
        <v>396.71499999999997</v>
      </c>
      <c r="V519" s="655">
        <v>2021</v>
      </c>
      <c r="W519" s="659" t="s">
        <v>3675</v>
      </c>
      <c r="X519" s="660">
        <f t="shared" si="23"/>
        <v>11.65572262203345</v>
      </c>
      <c r="Y519" s="661" t="str">
        <f t="shared" ref="Y519:Y582" si="24">IF(AND($M519=$Y$2,$N519=$Y$3,NOT($Q519=$R519),NOT($U519=0)),IF($K519=5,$S519/($U519+(8/5)*$U519),IF($K519=7,$S519/($U519+(29/25)*$U519),"")),"")</f>
        <v/>
      </c>
      <c r="Z519" s="661" t="str">
        <f t="shared" ref="Z519:Z582" si="25">IF(AND($M519=$Y$2,$N519=$Y$4,NOT($Q519=$R519),NOT($U519=0)),IF($K519=5,$S519/($U519+(8/5)*$U519),IF($K519=7,$S519/($U519+(29/25)*$U519),"")),"")</f>
        <v/>
      </c>
    </row>
    <row r="520" spans="1:26" s="128" customFormat="1" ht="25">
      <c r="A520" s="655">
        <v>10307</v>
      </c>
      <c r="B520" s="656" t="s">
        <v>33</v>
      </c>
      <c r="C520" s="655" t="s">
        <v>2793</v>
      </c>
      <c r="D520" s="656" t="s">
        <v>156</v>
      </c>
      <c r="E520" s="656" t="s">
        <v>157</v>
      </c>
      <c r="F520" s="655">
        <v>21970</v>
      </c>
      <c r="G520" s="656" t="s">
        <v>81</v>
      </c>
      <c r="H520" s="656" t="s">
        <v>1183</v>
      </c>
      <c r="I520" s="656" t="s">
        <v>58</v>
      </c>
      <c r="J520" s="655">
        <v>22</v>
      </c>
      <c r="K520" s="655">
        <v>2</v>
      </c>
      <c r="L520" s="656" t="s">
        <v>52</v>
      </c>
      <c r="M520" s="656" t="s">
        <v>41</v>
      </c>
      <c r="N520" s="656" t="s">
        <v>39</v>
      </c>
      <c r="O520" s="656" t="s">
        <v>39</v>
      </c>
      <c r="P520" s="656" t="s">
        <v>1037</v>
      </c>
      <c r="Q520" s="657">
        <v>1139222</v>
      </c>
      <c r="R520" s="657">
        <v>1139222</v>
      </c>
      <c r="S520" s="657">
        <v>1150614</v>
      </c>
      <c r="T520" s="657">
        <v>1150614</v>
      </c>
      <c r="U520" s="657">
        <v>95938.285000000003</v>
      </c>
      <c r="V520" s="655">
        <v>2021</v>
      </c>
      <c r="W520" s="659" t="s">
        <v>3675</v>
      </c>
      <c r="X520" s="660">
        <f t="shared" ref="X520:X583" si="26">IF(OR(K520&gt;3,T520=0,NOT(U520&gt;0)),"",T520/U520)</f>
        <v>11.993272550160762</v>
      </c>
      <c r="Y520" s="661" t="str">
        <f t="shared" si="24"/>
        <v/>
      </c>
      <c r="Z520" s="661" t="str">
        <f t="shared" si="25"/>
        <v/>
      </c>
    </row>
    <row r="521" spans="1:26" s="128" customFormat="1" hidden="1">
      <c r="A521" s="655">
        <v>10354</v>
      </c>
      <c r="B521" s="656" t="s">
        <v>33</v>
      </c>
      <c r="C521" s="655" t="s">
        <v>2793</v>
      </c>
      <c r="D521" s="656" t="s">
        <v>1106</v>
      </c>
      <c r="E521" s="656" t="s">
        <v>1106</v>
      </c>
      <c r="F521" s="655">
        <v>57432</v>
      </c>
      <c r="G521" s="656" t="s">
        <v>90</v>
      </c>
      <c r="H521" s="656" t="s">
        <v>1183</v>
      </c>
      <c r="I521" s="656" t="s">
        <v>58</v>
      </c>
      <c r="J521" s="655">
        <v>22</v>
      </c>
      <c r="K521" s="655">
        <v>2</v>
      </c>
      <c r="L521" s="656" t="s">
        <v>52</v>
      </c>
      <c r="M521" s="656" t="s">
        <v>42</v>
      </c>
      <c r="N521" s="656" t="s">
        <v>69</v>
      </c>
      <c r="O521" s="656" t="s">
        <v>70</v>
      </c>
      <c r="P521" s="656" t="s">
        <v>45</v>
      </c>
      <c r="Q521" s="657">
        <v>489549</v>
      </c>
      <c r="R521" s="657">
        <v>489549</v>
      </c>
      <c r="S521" s="657">
        <v>4846535</v>
      </c>
      <c r="T521" s="657">
        <v>4846535</v>
      </c>
      <c r="U521" s="657">
        <v>293803</v>
      </c>
      <c r="V521" s="655">
        <v>2021</v>
      </c>
      <c r="W521" s="659"/>
      <c r="X521" s="660">
        <f t="shared" si="26"/>
        <v>16.495866277743932</v>
      </c>
      <c r="Y521" s="661" t="str">
        <f t="shared" si="24"/>
        <v/>
      </c>
      <c r="Z521" s="661" t="str">
        <f t="shared" si="25"/>
        <v/>
      </c>
    </row>
    <row r="522" spans="1:26" s="128" customFormat="1" ht="25" hidden="1">
      <c r="A522" s="655">
        <v>10408</v>
      </c>
      <c r="B522" s="656" t="s">
        <v>54</v>
      </c>
      <c r="C522" s="655" t="s">
        <v>2793</v>
      </c>
      <c r="D522" s="656" t="s">
        <v>792</v>
      </c>
      <c r="E522" s="656" t="s">
        <v>792</v>
      </c>
      <c r="F522" s="655">
        <v>3692</v>
      </c>
      <c r="G522" s="656" t="s">
        <v>81</v>
      </c>
      <c r="H522" s="656" t="s">
        <v>1183</v>
      </c>
      <c r="I522" s="656" t="s">
        <v>58</v>
      </c>
      <c r="J522" s="655">
        <v>611</v>
      </c>
      <c r="K522" s="655">
        <v>5</v>
      </c>
      <c r="L522" s="656" t="s">
        <v>413</v>
      </c>
      <c r="M522" s="656" t="s">
        <v>51</v>
      </c>
      <c r="N522" s="656" t="s">
        <v>46</v>
      </c>
      <c r="O522" s="656" t="s">
        <v>46</v>
      </c>
      <c r="P522" s="656" t="s">
        <v>47</v>
      </c>
      <c r="Q522" s="657">
        <v>0</v>
      </c>
      <c r="R522" s="657">
        <v>0</v>
      </c>
      <c r="S522" s="657">
        <v>0</v>
      </c>
      <c r="T522" s="657">
        <v>0</v>
      </c>
      <c r="U522" s="657">
        <v>0</v>
      </c>
      <c r="V522" s="655">
        <v>2021</v>
      </c>
      <c r="W522" s="659"/>
      <c r="X522" s="660" t="str">
        <f t="shared" si="26"/>
        <v/>
      </c>
      <c r="Y522" s="661" t="str">
        <f t="shared" si="24"/>
        <v/>
      </c>
      <c r="Z522" s="661" t="str">
        <f t="shared" si="25"/>
        <v/>
      </c>
    </row>
    <row r="523" spans="1:26" s="128" customFormat="1" ht="25" hidden="1">
      <c r="A523" s="655">
        <v>10408</v>
      </c>
      <c r="B523" s="656" t="s">
        <v>54</v>
      </c>
      <c r="C523" s="655" t="s">
        <v>2793</v>
      </c>
      <c r="D523" s="656" t="s">
        <v>792</v>
      </c>
      <c r="E523" s="656" t="s">
        <v>792</v>
      </c>
      <c r="F523" s="655">
        <v>3692</v>
      </c>
      <c r="G523" s="656" t="s">
        <v>81</v>
      </c>
      <c r="H523" s="656" t="s">
        <v>1183</v>
      </c>
      <c r="I523" s="656" t="s">
        <v>58</v>
      </c>
      <c r="J523" s="655">
        <v>611</v>
      </c>
      <c r="K523" s="655">
        <v>5</v>
      </c>
      <c r="L523" s="656" t="s">
        <v>413</v>
      </c>
      <c r="M523" s="656" t="s">
        <v>51</v>
      </c>
      <c r="N523" s="656" t="s">
        <v>39</v>
      </c>
      <c r="O523" s="656" t="s">
        <v>39</v>
      </c>
      <c r="P523" s="656" t="s">
        <v>1037</v>
      </c>
      <c r="Q523" s="657">
        <v>88891</v>
      </c>
      <c r="R523" s="657">
        <v>49704</v>
      </c>
      <c r="S523" s="657">
        <v>88891</v>
      </c>
      <c r="T523" s="657">
        <v>49704</v>
      </c>
      <c r="U523" s="657">
        <v>8280.02</v>
      </c>
      <c r="V523" s="655">
        <v>2021</v>
      </c>
      <c r="W523" s="659"/>
      <c r="X523" s="660" t="str">
        <f t="shared" si="26"/>
        <v/>
      </c>
      <c r="Y523" s="661" t="str">
        <f t="shared" si="24"/>
        <v/>
      </c>
      <c r="Z523" s="661" t="str">
        <f t="shared" si="25"/>
        <v/>
      </c>
    </row>
    <row r="524" spans="1:26" s="128" customFormat="1" ht="25" hidden="1">
      <c r="A524" s="655">
        <v>10408</v>
      </c>
      <c r="B524" s="656" t="s">
        <v>54</v>
      </c>
      <c r="C524" s="655" t="s">
        <v>2793</v>
      </c>
      <c r="D524" s="656" t="s">
        <v>792</v>
      </c>
      <c r="E524" s="656" t="s">
        <v>792</v>
      </c>
      <c r="F524" s="655">
        <v>3692</v>
      </c>
      <c r="G524" s="656" t="s">
        <v>81</v>
      </c>
      <c r="H524" s="656" t="s">
        <v>1183</v>
      </c>
      <c r="I524" s="656" t="s">
        <v>58</v>
      </c>
      <c r="J524" s="655">
        <v>611</v>
      </c>
      <c r="K524" s="655">
        <v>5</v>
      </c>
      <c r="L524" s="656" t="s">
        <v>413</v>
      </c>
      <c r="M524" s="656" t="s">
        <v>51</v>
      </c>
      <c r="N524" s="656" t="s">
        <v>61</v>
      </c>
      <c r="O524" s="656" t="s">
        <v>61</v>
      </c>
      <c r="P524" s="656" t="s">
        <v>47</v>
      </c>
      <c r="Q524" s="657">
        <v>0</v>
      </c>
      <c r="R524" s="657">
        <v>0</v>
      </c>
      <c r="S524" s="657">
        <v>0</v>
      </c>
      <c r="T524" s="657">
        <v>0</v>
      </c>
      <c r="U524" s="657">
        <v>0</v>
      </c>
      <c r="V524" s="655">
        <v>2021</v>
      </c>
      <c r="W524" s="659"/>
      <c r="X524" s="660" t="str">
        <f t="shared" si="26"/>
        <v/>
      </c>
      <c r="Y524" s="661" t="str">
        <f t="shared" si="24"/>
        <v/>
      </c>
      <c r="Z524" s="661" t="str">
        <f t="shared" si="25"/>
        <v/>
      </c>
    </row>
    <row r="525" spans="1:26" s="128" customFormat="1" hidden="1">
      <c r="A525" s="655">
        <v>10417</v>
      </c>
      <c r="B525" s="656" t="s">
        <v>54</v>
      </c>
      <c r="C525" s="655" t="s">
        <v>2793</v>
      </c>
      <c r="D525" s="656" t="s">
        <v>793</v>
      </c>
      <c r="E525" s="656" t="s">
        <v>794</v>
      </c>
      <c r="F525" s="655">
        <v>39878</v>
      </c>
      <c r="G525" s="656" t="s">
        <v>81</v>
      </c>
      <c r="H525" s="656" t="s">
        <v>1183</v>
      </c>
      <c r="I525" s="656" t="s">
        <v>58</v>
      </c>
      <c r="J525" s="655">
        <v>325211</v>
      </c>
      <c r="K525" s="655">
        <v>7</v>
      </c>
      <c r="L525" s="656" t="s">
        <v>409</v>
      </c>
      <c r="M525" s="656" t="s">
        <v>42</v>
      </c>
      <c r="N525" s="656" t="s">
        <v>43</v>
      </c>
      <c r="O525" s="656" t="s">
        <v>44</v>
      </c>
      <c r="P525" s="656" t="s">
        <v>45</v>
      </c>
      <c r="Q525" s="657">
        <v>0</v>
      </c>
      <c r="R525" s="657">
        <v>0</v>
      </c>
      <c r="S525" s="657">
        <v>0</v>
      </c>
      <c r="T525" s="657">
        <v>0</v>
      </c>
      <c r="U525" s="657">
        <v>0</v>
      </c>
      <c r="V525" s="655">
        <v>2021</v>
      </c>
      <c r="W525" s="659"/>
      <c r="X525" s="660" t="str">
        <f t="shared" si="26"/>
        <v/>
      </c>
      <c r="Y525" s="661" t="str">
        <f t="shared" si="24"/>
        <v/>
      </c>
      <c r="Z525" s="661" t="str">
        <f t="shared" si="25"/>
        <v/>
      </c>
    </row>
    <row r="526" spans="1:26" s="128" customFormat="1" hidden="1">
      <c r="A526" s="655">
        <v>10417</v>
      </c>
      <c r="B526" s="656" t="s">
        <v>54</v>
      </c>
      <c r="C526" s="655" t="s">
        <v>2793</v>
      </c>
      <c r="D526" s="656" t="s">
        <v>793</v>
      </c>
      <c r="E526" s="656" t="s">
        <v>794</v>
      </c>
      <c r="F526" s="655">
        <v>39878</v>
      </c>
      <c r="G526" s="656" t="s">
        <v>81</v>
      </c>
      <c r="H526" s="656" t="s">
        <v>1183</v>
      </c>
      <c r="I526" s="656" t="s">
        <v>58</v>
      </c>
      <c r="J526" s="655">
        <v>325211</v>
      </c>
      <c r="K526" s="655">
        <v>7</v>
      </c>
      <c r="L526" s="656" t="s">
        <v>409</v>
      </c>
      <c r="M526" s="656" t="s">
        <v>42</v>
      </c>
      <c r="N526" s="656" t="s">
        <v>39</v>
      </c>
      <c r="O526" s="656" t="s">
        <v>39</v>
      </c>
      <c r="P526" s="656" t="s">
        <v>1037</v>
      </c>
      <c r="Q526" s="657">
        <v>1428623</v>
      </c>
      <c r="R526" s="657">
        <v>116149</v>
      </c>
      <c r="S526" s="657">
        <v>1474995</v>
      </c>
      <c r="T526" s="657">
        <v>119920</v>
      </c>
      <c r="U526" s="657">
        <v>18557</v>
      </c>
      <c r="V526" s="655">
        <v>2021</v>
      </c>
      <c r="W526" s="659"/>
      <c r="X526" s="660" t="str">
        <f t="shared" si="26"/>
        <v/>
      </c>
      <c r="Y526" s="661" t="str">
        <f t="shared" si="24"/>
        <v/>
      </c>
      <c r="Z526" s="661" t="str">
        <f t="shared" si="25"/>
        <v/>
      </c>
    </row>
    <row r="527" spans="1:26" s="128" customFormat="1" hidden="1">
      <c r="A527" s="655">
        <v>10464</v>
      </c>
      <c r="B527" s="656" t="s">
        <v>33</v>
      </c>
      <c r="C527" s="655" t="s">
        <v>2793</v>
      </c>
      <c r="D527" s="656" t="s">
        <v>1829</v>
      </c>
      <c r="E527" s="656" t="s">
        <v>1194</v>
      </c>
      <c r="F527" s="655">
        <v>1746</v>
      </c>
      <c r="G527" s="656" t="s">
        <v>57</v>
      </c>
      <c r="H527" s="656" t="s">
        <v>1182</v>
      </c>
      <c r="I527" s="656" t="s">
        <v>58</v>
      </c>
      <c r="J527" s="655">
        <v>22</v>
      </c>
      <c r="K527" s="655">
        <v>2</v>
      </c>
      <c r="L527" s="656" t="s">
        <v>52</v>
      </c>
      <c r="M527" s="656" t="s">
        <v>42</v>
      </c>
      <c r="N527" s="656" t="s">
        <v>43</v>
      </c>
      <c r="O527" s="656" t="s">
        <v>44</v>
      </c>
      <c r="P527" s="656" t="s">
        <v>45</v>
      </c>
      <c r="Q527" s="657">
        <v>0</v>
      </c>
      <c r="R527" s="657">
        <v>0</v>
      </c>
      <c r="S527" s="657">
        <v>0</v>
      </c>
      <c r="T527" s="657">
        <v>0</v>
      </c>
      <c r="U527" s="657">
        <v>0</v>
      </c>
      <c r="V527" s="655">
        <v>2021</v>
      </c>
      <c r="W527" s="659"/>
      <c r="X527" s="660" t="str">
        <f t="shared" si="26"/>
        <v/>
      </c>
      <c r="Y527" s="661" t="str">
        <f t="shared" si="24"/>
        <v/>
      </c>
      <c r="Z527" s="661" t="str">
        <f t="shared" si="25"/>
        <v/>
      </c>
    </row>
    <row r="528" spans="1:26" s="128" customFormat="1" hidden="1">
      <c r="A528" s="655">
        <v>10464</v>
      </c>
      <c r="B528" s="656" t="s">
        <v>33</v>
      </c>
      <c r="C528" s="655" t="s">
        <v>2793</v>
      </c>
      <c r="D528" s="656" t="s">
        <v>1829</v>
      </c>
      <c r="E528" s="656" t="s">
        <v>1194</v>
      </c>
      <c r="F528" s="655">
        <v>1746</v>
      </c>
      <c r="G528" s="656" t="s">
        <v>57</v>
      </c>
      <c r="H528" s="656" t="s">
        <v>1182</v>
      </c>
      <c r="I528" s="656" t="s">
        <v>58</v>
      </c>
      <c r="J528" s="655">
        <v>22</v>
      </c>
      <c r="K528" s="655">
        <v>2</v>
      </c>
      <c r="L528" s="656" t="s">
        <v>52</v>
      </c>
      <c r="M528" s="656" t="s">
        <v>42</v>
      </c>
      <c r="N528" s="656" t="s">
        <v>46</v>
      </c>
      <c r="O528" s="656" t="s">
        <v>46</v>
      </c>
      <c r="P528" s="656" t="s">
        <v>47</v>
      </c>
      <c r="Q528" s="657">
        <v>1768</v>
      </c>
      <c r="R528" s="657">
        <v>1768</v>
      </c>
      <c r="S528" s="657">
        <v>10247</v>
      </c>
      <c r="T528" s="657">
        <v>10247</v>
      </c>
      <c r="U528" s="657">
        <v>531.92999999999995</v>
      </c>
      <c r="V528" s="655">
        <v>2021</v>
      </c>
      <c r="W528" s="659"/>
      <c r="X528" s="660">
        <f t="shared" si="26"/>
        <v>19.263812907713422</v>
      </c>
      <c r="Y528" s="661" t="str">
        <f t="shared" si="24"/>
        <v/>
      </c>
      <c r="Z528" s="661" t="str">
        <f t="shared" si="25"/>
        <v/>
      </c>
    </row>
    <row r="529" spans="1:26" s="128" customFormat="1" hidden="1">
      <c r="A529" s="655">
        <v>10464</v>
      </c>
      <c r="B529" s="656" t="s">
        <v>33</v>
      </c>
      <c r="C529" s="655" t="s">
        <v>2793</v>
      </c>
      <c r="D529" s="656" t="s">
        <v>1829</v>
      </c>
      <c r="E529" s="656" t="s">
        <v>1194</v>
      </c>
      <c r="F529" s="655">
        <v>1746</v>
      </c>
      <c r="G529" s="656" t="s">
        <v>57</v>
      </c>
      <c r="H529" s="656" t="s">
        <v>1182</v>
      </c>
      <c r="I529" s="656" t="s">
        <v>58</v>
      </c>
      <c r="J529" s="655">
        <v>22</v>
      </c>
      <c r="K529" s="655">
        <v>2</v>
      </c>
      <c r="L529" s="656" t="s">
        <v>52</v>
      </c>
      <c r="M529" s="656" t="s">
        <v>42</v>
      </c>
      <c r="N529" s="656" t="s">
        <v>66</v>
      </c>
      <c r="O529" s="656" t="s">
        <v>67</v>
      </c>
      <c r="P529" s="656" t="s">
        <v>47</v>
      </c>
      <c r="Q529" s="657">
        <v>0</v>
      </c>
      <c r="R529" s="657">
        <v>0</v>
      </c>
      <c r="S529" s="657">
        <v>0</v>
      </c>
      <c r="T529" s="657">
        <v>0</v>
      </c>
      <c r="U529" s="657">
        <v>0</v>
      </c>
      <c r="V529" s="655">
        <v>2021</v>
      </c>
      <c r="W529" s="659"/>
      <c r="X529" s="660" t="str">
        <f t="shared" si="26"/>
        <v/>
      </c>
      <c r="Y529" s="661" t="str">
        <f t="shared" si="24"/>
        <v/>
      </c>
      <c r="Z529" s="661" t="str">
        <f t="shared" si="25"/>
        <v/>
      </c>
    </row>
    <row r="530" spans="1:26" s="128" customFormat="1" hidden="1">
      <c r="A530" s="655">
        <v>10464</v>
      </c>
      <c r="B530" s="656" t="s">
        <v>33</v>
      </c>
      <c r="C530" s="655" t="s">
        <v>2793</v>
      </c>
      <c r="D530" s="656" t="s">
        <v>1829</v>
      </c>
      <c r="E530" s="656" t="s">
        <v>1194</v>
      </c>
      <c r="F530" s="655">
        <v>1746</v>
      </c>
      <c r="G530" s="656" t="s">
        <v>57</v>
      </c>
      <c r="H530" s="656" t="s">
        <v>1182</v>
      </c>
      <c r="I530" s="656" t="s">
        <v>58</v>
      </c>
      <c r="J530" s="655">
        <v>22</v>
      </c>
      <c r="K530" s="655">
        <v>2</v>
      </c>
      <c r="L530" s="656" t="s">
        <v>52</v>
      </c>
      <c r="M530" s="656" t="s">
        <v>42</v>
      </c>
      <c r="N530" s="656" t="s">
        <v>65</v>
      </c>
      <c r="O530" s="656" t="s">
        <v>65</v>
      </c>
      <c r="P530" s="656" t="s">
        <v>45</v>
      </c>
      <c r="Q530" s="657">
        <v>0</v>
      </c>
      <c r="R530" s="657">
        <v>0</v>
      </c>
      <c r="S530" s="657">
        <v>0</v>
      </c>
      <c r="T530" s="657">
        <v>0</v>
      </c>
      <c r="U530" s="657">
        <v>0</v>
      </c>
      <c r="V530" s="655">
        <v>2021</v>
      </c>
      <c r="W530" s="659"/>
      <c r="X530" s="660" t="str">
        <f t="shared" si="26"/>
        <v/>
      </c>
      <c r="Y530" s="661" t="str">
        <f t="shared" si="24"/>
        <v/>
      </c>
      <c r="Z530" s="661" t="str">
        <f t="shared" si="25"/>
        <v/>
      </c>
    </row>
    <row r="531" spans="1:26" s="128" customFormat="1" hidden="1">
      <c r="A531" s="655">
        <v>10464</v>
      </c>
      <c r="B531" s="656" t="s">
        <v>33</v>
      </c>
      <c r="C531" s="655" t="s">
        <v>2793</v>
      </c>
      <c r="D531" s="656" t="s">
        <v>1829</v>
      </c>
      <c r="E531" s="656" t="s">
        <v>1194</v>
      </c>
      <c r="F531" s="655">
        <v>1746</v>
      </c>
      <c r="G531" s="656" t="s">
        <v>57</v>
      </c>
      <c r="H531" s="656" t="s">
        <v>1182</v>
      </c>
      <c r="I531" s="656" t="s">
        <v>58</v>
      </c>
      <c r="J531" s="655">
        <v>22</v>
      </c>
      <c r="K531" s="655">
        <v>2</v>
      </c>
      <c r="L531" s="656" t="s">
        <v>52</v>
      </c>
      <c r="M531" s="656" t="s">
        <v>42</v>
      </c>
      <c r="N531" s="656" t="s">
        <v>402</v>
      </c>
      <c r="O531" s="656" t="s">
        <v>82</v>
      </c>
      <c r="P531" s="656" t="s">
        <v>45</v>
      </c>
      <c r="Q531" s="657">
        <v>3066</v>
      </c>
      <c r="R531" s="657">
        <v>3066</v>
      </c>
      <c r="S531" s="657">
        <v>81402</v>
      </c>
      <c r="T531" s="657">
        <v>81402</v>
      </c>
      <c r="U531" s="657">
        <v>4402.4359999999997</v>
      </c>
      <c r="V531" s="655">
        <v>2021</v>
      </c>
      <c r="W531" s="659"/>
      <c r="X531" s="660">
        <f t="shared" si="26"/>
        <v>18.490217688570603</v>
      </c>
      <c r="Y531" s="661" t="str">
        <f t="shared" si="24"/>
        <v/>
      </c>
      <c r="Z531" s="661" t="str">
        <f t="shared" si="25"/>
        <v/>
      </c>
    </row>
    <row r="532" spans="1:26" s="128" customFormat="1" hidden="1">
      <c r="A532" s="655">
        <v>10464</v>
      </c>
      <c r="B532" s="656" t="s">
        <v>33</v>
      </c>
      <c r="C532" s="655" t="s">
        <v>2793</v>
      </c>
      <c r="D532" s="656" t="s">
        <v>1829</v>
      </c>
      <c r="E532" s="656" t="s">
        <v>1194</v>
      </c>
      <c r="F532" s="655">
        <v>1746</v>
      </c>
      <c r="G532" s="656" t="s">
        <v>57</v>
      </c>
      <c r="H532" s="656" t="s">
        <v>1182</v>
      </c>
      <c r="I532" s="656" t="s">
        <v>58</v>
      </c>
      <c r="J532" s="655">
        <v>22</v>
      </c>
      <c r="K532" s="655">
        <v>2</v>
      </c>
      <c r="L532" s="656" t="s">
        <v>52</v>
      </c>
      <c r="M532" s="656" t="s">
        <v>42</v>
      </c>
      <c r="N532" s="656" t="s">
        <v>69</v>
      </c>
      <c r="O532" s="656" t="s">
        <v>70</v>
      </c>
      <c r="P532" s="656" t="s">
        <v>45</v>
      </c>
      <c r="Q532" s="657">
        <v>516819</v>
      </c>
      <c r="R532" s="657">
        <v>516819</v>
      </c>
      <c r="S532" s="657">
        <v>5426603</v>
      </c>
      <c r="T532" s="657">
        <v>5426603</v>
      </c>
      <c r="U532" s="657">
        <v>291856.63</v>
      </c>
      <c r="V532" s="655">
        <v>2021</v>
      </c>
      <c r="W532" s="659"/>
      <c r="X532" s="660">
        <f t="shared" si="26"/>
        <v>18.5933860745257</v>
      </c>
      <c r="Y532" s="661" t="str">
        <f t="shared" si="24"/>
        <v/>
      </c>
      <c r="Z532" s="661" t="str">
        <f t="shared" si="25"/>
        <v/>
      </c>
    </row>
    <row r="533" spans="1:26" s="128" customFormat="1" ht="25" hidden="1">
      <c r="A533" s="655">
        <v>10467</v>
      </c>
      <c r="B533" s="656" t="s">
        <v>33</v>
      </c>
      <c r="C533" s="655" t="s">
        <v>2793</v>
      </c>
      <c r="D533" s="656" t="s">
        <v>795</v>
      </c>
      <c r="E533" s="656" t="s">
        <v>783</v>
      </c>
      <c r="F533" s="655">
        <v>55754</v>
      </c>
      <c r="G533" s="656" t="s">
        <v>57</v>
      </c>
      <c r="H533" s="656" t="s">
        <v>1182</v>
      </c>
      <c r="I533" s="656" t="s">
        <v>58</v>
      </c>
      <c r="J533" s="655">
        <v>22</v>
      </c>
      <c r="K533" s="655">
        <v>2</v>
      </c>
      <c r="L533" s="656" t="s">
        <v>52</v>
      </c>
      <c r="M533" s="656" t="s">
        <v>35</v>
      </c>
      <c r="N533" s="656" t="s">
        <v>36</v>
      </c>
      <c r="O533" s="656" t="s">
        <v>37</v>
      </c>
      <c r="P533" s="656" t="s">
        <v>1176</v>
      </c>
      <c r="Q533" s="657">
        <v>0</v>
      </c>
      <c r="R533" s="657">
        <v>0</v>
      </c>
      <c r="S533" s="657">
        <v>134051</v>
      </c>
      <c r="T533" s="657">
        <v>134051</v>
      </c>
      <c r="U533" s="657">
        <v>15159</v>
      </c>
      <c r="V533" s="655">
        <v>2021</v>
      </c>
      <c r="W533" s="659"/>
      <c r="X533" s="660">
        <f t="shared" si="26"/>
        <v>8.8429975592057524</v>
      </c>
      <c r="Y533" s="661" t="str">
        <f t="shared" si="24"/>
        <v/>
      </c>
      <c r="Z533" s="661" t="str">
        <f t="shared" si="25"/>
        <v/>
      </c>
    </row>
    <row r="534" spans="1:26" s="128" customFormat="1" ht="25" hidden="1">
      <c r="A534" s="655">
        <v>10490</v>
      </c>
      <c r="B534" s="656" t="s">
        <v>33</v>
      </c>
      <c r="C534" s="655" t="s">
        <v>2793</v>
      </c>
      <c r="D534" s="656" t="s">
        <v>1596</v>
      </c>
      <c r="E534" s="656" t="s">
        <v>3104</v>
      </c>
      <c r="F534" s="655">
        <v>57280</v>
      </c>
      <c r="G534" s="656" t="s">
        <v>57</v>
      </c>
      <c r="H534" s="656" t="s">
        <v>1182</v>
      </c>
      <c r="I534" s="656" t="s">
        <v>58</v>
      </c>
      <c r="J534" s="655">
        <v>22</v>
      </c>
      <c r="K534" s="655">
        <v>2</v>
      </c>
      <c r="L534" s="656" t="s">
        <v>52</v>
      </c>
      <c r="M534" s="656" t="s">
        <v>35</v>
      </c>
      <c r="N534" s="656" t="s">
        <v>36</v>
      </c>
      <c r="O534" s="656" t="s">
        <v>37</v>
      </c>
      <c r="P534" s="656" t="s">
        <v>1176</v>
      </c>
      <c r="Q534" s="657">
        <v>0</v>
      </c>
      <c r="R534" s="657">
        <v>0</v>
      </c>
      <c r="S534" s="657">
        <v>68693</v>
      </c>
      <c r="T534" s="657">
        <v>68693</v>
      </c>
      <c r="U534" s="657">
        <v>7768</v>
      </c>
      <c r="V534" s="655">
        <v>2021</v>
      </c>
      <c r="W534" s="659"/>
      <c r="X534" s="660">
        <f t="shared" si="26"/>
        <v>8.8430741503604526</v>
      </c>
      <c r="Y534" s="661" t="str">
        <f t="shared" si="24"/>
        <v/>
      </c>
      <c r="Z534" s="661" t="str">
        <f t="shared" si="25"/>
        <v/>
      </c>
    </row>
    <row r="535" spans="1:26" s="128" customFormat="1" hidden="1">
      <c r="A535" s="655">
        <v>10491</v>
      </c>
      <c r="B535" s="656" t="s">
        <v>54</v>
      </c>
      <c r="C535" s="655" t="s">
        <v>2793</v>
      </c>
      <c r="D535" s="656" t="s">
        <v>796</v>
      </c>
      <c r="E535" s="656" t="s">
        <v>2801</v>
      </c>
      <c r="F535" s="655">
        <v>61813</v>
      </c>
      <c r="G535" s="656" t="s">
        <v>90</v>
      </c>
      <c r="H535" s="656" t="s">
        <v>1183</v>
      </c>
      <c r="I535" s="656" t="s">
        <v>58</v>
      </c>
      <c r="J535" s="655">
        <v>322122</v>
      </c>
      <c r="K535" s="655">
        <v>7</v>
      </c>
      <c r="L535" s="656" t="s">
        <v>409</v>
      </c>
      <c r="M535" s="656" t="s">
        <v>42</v>
      </c>
      <c r="N535" s="656" t="s">
        <v>39</v>
      </c>
      <c r="O535" s="656" t="s">
        <v>39</v>
      </c>
      <c r="P535" s="656" t="s">
        <v>1037</v>
      </c>
      <c r="Q535" s="657">
        <v>1111280</v>
      </c>
      <c r="R535" s="657">
        <v>0</v>
      </c>
      <c r="S535" s="657">
        <v>1111280</v>
      </c>
      <c r="T535" s="657">
        <v>0</v>
      </c>
      <c r="U535" s="657">
        <v>0</v>
      </c>
      <c r="V535" s="655">
        <v>2021</v>
      </c>
      <c r="W535" s="659"/>
      <c r="X535" s="660" t="str">
        <f t="shared" si="26"/>
        <v/>
      </c>
      <c r="Y535" s="661" t="str">
        <f t="shared" si="24"/>
        <v/>
      </c>
      <c r="Z535" s="661" t="str">
        <f t="shared" si="25"/>
        <v/>
      </c>
    </row>
    <row r="536" spans="1:26" s="128" customFormat="1" hidden="1">
      <c r="A536" s="655">
        <v>10491</v>
      </c>
      <c r="B536" s="656" t="s">
        <v>54</v>
      </c>
      <c r="C536" s="655" t="s">
        <v>2793</v>
      </c>
      <c r="D536" s="656" t="s">
        <v>796</v>
      </c>
      <c r="E536" s="656" t="s">
        <v>2801</v>
      </c>
      <c r="F536" s="655">
        <v>61813</v>
      </c>
      <c r="G536" s="656" t="s">
        <v>90</v>
      </c>
      <c r="H536" s="656" t="s">
        <v>1183</v>
      </c>
      <c r="I536" s="656" t="s">
        <v>58</v>
      </c>
      <c r="J536" s="655">
        <v>322122</v>
      </c>
      <c r="K536" s="655">
        <v>7</v>
      </c>
      <c r="L536" s="656" t="s">
        <v>409</v>
      </c>
      <c r="M536" s="656" t="s">
        <v>42</v>
      </c>
      <c r="N536" s="656" t="s">
        <v>61</v>
      </c>
      <c r="O536" s="656" t="s">
        <v>61</v>
      </c>
      <c r="P536" s="656" t="s">
        <v>47</v>
      </c>
      <c r="Q536" s="657">
        <v>0</v>
      </c>
      <c r="R536" s="657">
        <v>0</v>
      </c>
      <c r="S536" s="657">
        <v>0</v>
      </c>
      <c r="T536" s="657">
        <v>0</v>
      </c>
      <c r="U536" s="657">
        <v>0</v>
      </c>
      <c r="V536" s="655">
        <v>2021</v>
      </c>
      <c r="W536" s="659"/>
      <c r="X536" s="660" t="str">
        <f t="shared" si="26"/>
        <v/>
      </c>
      <c r="Y536" s="661" t="str">
        <f t="shared" si="24"/>
        <v/>
      </c>
      <c r="Z536" s="661" t="str">
        <f t="shared" si="25"/>
        <v/>
      </c>
    </row>
    <row r="537" spans="1:26" s="128" customFormat="1" hidden="1">
      <c r="A537" s="655">
        <v>10491</v>
      </c>
      <c r="B537" s="656" t="s">
        <v>54</v>
      </c>
      <c r="C537" s="655" t="s">
        <v>2793</v>
      </c>
      <c r="D537" s="656" t="s">
        <v>796</v>
      </c>
      <c r="E537" s="656" t="s">
        <v>2801</v>
      </c>
      <c r="F537" s="655">
        <v>61813</v>
      </c>
      <c r="G537" s="656" t="s">
        <v>90</v>
      </c>
      <c r="H537" s="656" t="s">
        <v>1183</v>
      </c>
      <c r="I537" s="656" t="s">
        <v>58</v>
      </c>
      <c r="J537" s="655">
        <v>322122</v>
      </c>
      <c r="K537" s="655">
        <v>7</v>
      </c>
      <c r="L537" s="656" t="s">
        <v>409</v>
      </c>
      <c r="M537" s="656" t="s">
        <v>42</v>
      </c>
      <c r="N537" s="656" t="s">
        <v>155</v>
      </c>
      <c r="O537" s="656" t="s">
        <v>49</v>
      </c>
      <c r="P537" s="656" t="s">
        <v>45</v>
      </c>
      <c r="Q537" s="657">
        <v>0</v>
      </c>
      <c r="R537" s="657">
        <v>0</v>
      </c>
      <c r="S537" s="657">
        <v>0</v>
      </c>
      <c r="T537" s="657">
        <v>0</v>
      </c>
      <c r="U537" s="657">
        <v>0</v>
      </c>
      <c r="V537" s="655">
        <v>2021</v>
      </c>
      <c r="W537" s="659"/>
      <c r="X537" s="660" t="str">
        <f t="shared" si="26"/>
        <v/>
      </c>
      <c r="Y537" s="661" t="str">
        <f t="shared" si="24"/>
        <v/>
      </c>
      <c r="Z537" s="661" t="str">
        <f t="shared" si="25"/>
        <v/>
      </c>
    </row>
    <row r="538" spans="1:26" s="128" customFormat="1" ht="25" hidden="1">
      <c r="A538" s="655">
        <v>10493</v>
      </c>
      <c r="B538" s="656" t="s">
        <v>33</v>
      </c>
      <c r="C538" s="655" t="s">
        <v>2793</v>
      </c>
      <c r="D538" s="656" t="s">
        <v>1195</v>
      </c>
      <c r="E538" s="656" t="s">
        <v>147</v>
      </c>
      <c r="F538" s="655">
        <v>50083</v>
      </c>
      <c r="G538" s="656" t="s">
        <v>90</v>
      </c>
      <c r="H538" s="656" t="s">
        <v>1183</v>
      </c>
      <c r="I538" s="656" t="s">
        <v>58</v>
      </c>
      <c r="J538" s="655">
        <v>22</v>
      </c>
      <c r="K538" s="655">
        <v>2</v>
      </c>
      <c r="L538" s="656" t="s">
        <v>52</v>
      </c>
      <c r="M538" s="656" t="s">
        <v>35</v>
      </c>
      <c r="N538" s="656" t="s">
        <v>36</v>
      </c>
      <c r="O538" s="656" t="s">
        <v>37</v>
      </c>
      <c r="P538" s="656" t="s">
        <v>1176</v>
      </c>
      <c r="Q538" s="657">
        <v>0</v>
      </c>
      <c r="R538" s="657">
        <v>0</v>
      </c>
      <c r="S538" s="657">
        <v>1847932</v>
      </c>
      <c r="T538" s="657">
        <v>1847932</v>
      </c>
      <c r="U538" s="657">
        <v>208971</v>
      </c>
      <c r="V538" s="655">
        <v>2021</v>
      </c>
      <c r="W538" s="659"/>
      <c r="X538" s="660">
        <f t="shared" si="26"/>
        <v>8.8430069244057794</v>
      </c>
      <c r="Y538" s="661" t="str">
        <f t="shared" si="24"/>
        <v/>
      </c>
      <c r="Z538" s="661" t="str">
        <f t="shared" si="25"/>
        <v/>
      </c>
    </row>
    <row r="539" spans="1:26" s="128" customFormat="1" ht="25" hidden="1">
      <c r="A539" s="655">
        <v>10494</v>
      </c>
      <c r="B539" s="656" t="s">
        <v>33</v>
      </c>
      <c r="C539" s="655" t="s">
        <v>2793</v>
      </c>
      <c r="D539" s="656" t="s">
        <v>797</v>
      </c>
      <c r="E539" s="656" t="s">
        <v>3106</v>
      </c>
      <c r="F539" s="655">
        <v>64078</v>
      </c>
      <c r="G539" s="656" t="s">
        <v>89</v>
      </c>
      <c r="H539" s="656" t="s">
        <v>1183</v>
      </c>
      <c r="I539" s="656" t="s">
        <v>58</v>
      </c>
      <c r="J539" s="655">
        <v>22</v>
      </c>
      <c r="K539" s="655">
        <v>2</v>
      </c>
      <c r="L539" s="656" t="s">
        <v>52</v>
      </c>
      <c r="M539" s="656" t="s">
        <v>35</v>
      </c>
      <c r="N539" s="656" t="s">
        <v>36</v>
      </c>
      <c r="O539" s="656" t="s">
        <v>37</v>
      </c>
      <c r="P539" s="656" t="s">
        <v>1176</v>
      </c>
      <c r="Q539" s="657">
        <v>0</v>
      </c>
      <c r="R539" s="657">
        <v>0</v>
      </c>
      <c r="S539" s="657">
        <v>344028</v>
      </c>
      <c r="T539" s="657">
        <v>344028</v>
      </c>
      <c r="U539" s="657">
        <v>38904</v>
      </c>
      <c r="V539" s="655">
        <v>2021</v>
      </c>
      <c r="W539" s="659"/>
      <c r="X539" s="660">
        <f t="shared" si="26"/>
        <v>8.8429981492905618</v>
      </c>
      <c r="Y539" s="661" t="str">
        <f t="shared" si="24"/>
        <v/>
      </c>
      <c r="Z539" s="661" t="str">
        <f t="shared" si="25"/>
        <v/>
      </c>
    </row>
    <row r="540" spans="1:26" s="128" customFormat="1" hidden="1">
      <c r="A540" s="655">
        <v>10495</v>
      </c>
      <c r="B540" s="656" t="s">
        <v>54</v>
      </c>
      <c r="C540" s="655" t="s">
        <v>2793</v>
      </c>
      <c r="D540" s="656" t="s">
        <v>91</v>
      </c>
      <c r="E540" s="656" t="s">
        <v>2801</v>
      </c>
      <c r="F540" s="655">
        <v>61813</v>
      </c>
      <c r="G540" s="656" t="s">
        <v>90</v>
      </c>
      <c r="H540" s="656" t="s">
        <v>1183</v>
      </c>
      <c r="I540" s="656" t="s">
        <v>58</v>
      </c>
      <c r="J540" s="655">
        <v>22</v>
      </c>
      <c r="K540" s="655">
        <v>3</v>
      </c>
      <c r="L540" s="656" t="s">
        <v>55</v>
      </c>
      <c r="M540" s="656" t="s">
        <v>42</v>
      </c>
      <c r="N540" s="656" t="s">
        <v>43</v>
      </c>
      <c r="O540" s="656" t="s">
        <v>44</v>
      </c>
      <c r="P540" s="656" t="s">
        <v>45</v>
      </c>
      <c r="Q540" s="657">
        <v>68815</v>
      </c>
      <c r="R540" s="657">
        <v>12391</v>
      </c>
      <c r="S540" s="657">
        <v>1587500</v>
      </c>
      <c r="T540" s="657">
        <v>284935</v>
      </c>
      <c r="U540" s="657">
        <v>49996.237000000001</v>
      </c>
      <c r="V540" s="655">
        <v>2021</v>
      </c>
      <c r="W540" s="659"/>
      <c r="X540" s="660">
        <f t="shared" si="26"/>
        <v>5.6991289164422509</v>
      </c>
      <c r="Y540" s="661" t="str">
        <f t="shared" si="24"/>
        <v/>
      </c>
      <c r="Z540" s="661" t="str">
        <f t="shared" si="25"/>
        <v/>
      </c>
    </row>
    <row r="541" spans="1:26" s="128" customFormat="1" hidden="1">
      <c r="A541" s="655">
        <v>10495</v>
      </c>
      <c r="B541" s="656" t="s">
        <v>54</v>
      </c>
      <c r="C541" s="655" t="s">
        <v>2793</v>
      </c>
      <c r="D541" s="656" t="s">
        <v>91</v>
      </c>
      <c r="E541" s="656" t="s">
        <v>2801</v>
      </c>
      <c r="F541" s="655">
        <v>61813</v>
      </c>
      <c r="G541" s="656" t="s">
        <v>90</v>
      </c>
      <c r="H541" s="656" t="s">
        <v>1183</v>
      </c>
      <c r="I541" s="656" t="s">
        <v>58</v>
      </c>
      <c r="J541" s="655">
        <v>22</v>
      </c>
      <c r="K541" s="655">
        <v>3</v>
      </c>
      <c r="L541" s="656" t="s">
        <v>55</v>
      </c>
      <c r="M541" s="656" t="s">
        <v>42</v>
      </c>
      <c r="N541" s="656" t="s">
        <v>154</v>
      </c>
      <c r="O541" s="656" t="s">
        <v>70</v>
      </c>
      <c r="P541" s="656" t="s">
        <v>45</v>
      </c>
      <c r="Q541" s="657">
        <v>548760</v>
      </c>
      <c r="R541" s="657">
        <v>96302</v>
      </c>
      <c r="S541" s="657">
        <v>6310744</v>
      </c>
      <c r="T541" s="657">
        <v>1107454</v>
      </c>
      <c r="U541" s="657">
        <v>196052.53</v>
      </c>
      <c r="V541" s="655">
        <v>2021</v>
      </c>
      <c r="W541" s="659"/>
      <c r="X541" s="660">
        <f t="shared" si="26"/>
        <v>5.648761584459022</v>
      </c>
      <c r="Y541" s="661" t="str">
        <f t="shared" si="24"/>
        <v/>
      </c>
      <c r="Z541" s="661" t="str">
        <f t="shared" si="25"/>
        <v/>
      </c>
    </row>
    <row r="542" spans="1:26" s="128" customFormat="1" hidden="1">
      <c r="A542" s="655">
        <v>10495</v>
      </c>
      <c r="B542" s="656" t="s">
        <v>54</v>
      </c>
      <c r="C542" s="655" t="s">
        <v>2793</v>
      </c>
      <c r="D542" s="656" t="s">
        <v>91</v>
      </c>
      <c r="E542" s="656" t="s">
        <v>2801</v>
      </c>
      <c r="F542" s="655">
        <v>61813</v>
      </c>
      <c r="G542" s="656" t="s">
        <v>90</v>
      </c>
      <c r="H542" s="656" t="s">
        <v>1183</v>
      </c>
      <c r="I542" s="656" t="s">
        <v>58</v>
      </c>
      <c r="J542" s="655">
        <v>22</v>
      </c>
      <c r="K542" s="655">
        <v>3</v>
      </c>
      <c r="L542" s="656" t="s">
        <v>55</v>
      </c>
      <c r="M542" s="656" t="s">
        <v>42</v>
      </c>
      <c r="N542" s="656" t="s">
        <v>46</v>
      </c>
      <c r="O542" s="656" t="s">
        <v>46</v>
      </c>
      <c r="P542" s="656" t="s">
        <v>47</v>
      </c>
      <c r="Q542" s="657">
        <v>0</v>
      </c>
      <c r="R542" s="657">
        <v>0</v>
      </c>
      <c r="S542" s="657">
        <v>0</v>
      </c>
      <c r="T542" s="657">
        <v>0</v>
      </c>
      <c r="U542" s="657">
        <v>0</v>
      </c>
      <c r="V542" s="655">
        <v>2021</v>
      </c>
      <c r="W542" s="659"/>
      <c r="X542" s="660" t="str">
        <f t="shared" si="26"/>
        <v/>
      </c>
      <c r="Y542" s="661" t="str">
        <f t="shared" si="24"/>
        <v/>
      </c>
      <c r="Z542" s="661" t="str">
        <f t="shared" si="25"/>
        <v/>
      </c>
    </row>
    <row r="543" spans="1:26" s="128" customFormat="1" hidden="1">
      <c r="A543" s="655">
        <v>10495</v>
      </c>
      <c r="B543" s="656" t="s">
        <v>54</v>
      </c>
      <c r="C543" s="655" t="s">
        <v>2793</v>
      </c>
      <c r="D543" s="656" t="s">
        <v>91</v>
      </c>
      <c r="E543" s="656" t="s">
        <v>2801</v>
      </c>
      <c r="F543" s="655">
        <v>61813</v>
      </c>
      <c r="G543" s="656" t="s">
        <v>90</v>
      </c>
      <c r="H543" s="656" t="s">
        <v>1183</v>
      </c>
      <c r="I543" s="656" t="s">
        <v>58</v>
      </c>
      <c r="J543" s="655">
        <v>22</v>
      </c>
      <c r="K543" s="655">
        <v>3</v>
      </c>
      <c r="L543" s="656" t="s">
        <v>55</v>
      </c>
      <c r="M543" s="656" t="s">
        <v>42</v>
      </c>
      <c r="N543" s="656" t="s">
        <v>61</v>
      </c>
      <c r="O543" s="656" t="s">
        <v>61</v>
      </c>
      <c r="P543" s="656" t="s">
        <v>47</v>
      </c>
      <c r="Q543" s="657">
        <v>71251</v>
      </c>
      <c r="R543" s="657">
        <v>12441</v>
      </c>
      <c r="S543" s="657">
        <v>446907</v>
      </c>
      <c r="T543" s="657">
        <v>78052</v>
      </c>
      <c r="U543" s="657">
        <v>13854.069</v>
      </c>
      <c r="V543" s="655">
        <v>2021</v>
      </c>
      <c r="W543" s="659"/>
      <c r="X543" s="660">
        <f t="shared" si="26"/>
        <v>5.6338682880820068</v>
      </c>
      <c r="Y543" s="661" t="str">
        <f t="shared" si="24"/>
        <v/>
      </c>
      <c r="Z543" s="661" t="str">
        <f t="shared" si="25"/>
        <v/>
      </c>
    </row>
    <row r="544" spans="1:26" s="128" customFormat="1" hidden="1">
      <c r="A544" s="655">
        <v>10495</v>
      </c>
      <c r="B544" s="656" t="s">
        <v>54</v>
      </c>
      <c r="C544" s="655" t="s">
        <v>2793</v>
      </c>
      <c r="D544" s="656" t="s">
        <v>91</v>
      </c>
      <c r="E544" s="656" t="s">
        <v>2801</v>
      </c>
      <c r="F544" s="655">
        <v>61813</v>
      </c>
      <c r="G544" s="656" t="s">
        <v>90</v>
      </c>
      <c r="H544" s="656" t="s">
        <v>1183</v>
      </c>
      <c r="I544" s="656" t="s">
        <v>58</v>
      </c>
      <c r="J544" s="655">
        <v>22</v>
      </c>
      <c r="K544" s="655">
        <v>3</v>
      </c>
      <c r="L544" s="656" t="s">
        <v>55</v>
      </c>
      <c r="M544" s="656" t="s">
        <v>42</v>
      </c>
      <c r="N544" s="656" t="s">
        <v>155</v>
      </c>
      <c r="O544" s="656" t="s">
        <v>49</v>
      </c>
      <c r="P544" s="656" t="s">
        <v>45</v>
      </c>
      <c r="Q544" s="657">
        <v>28307</v>
      </c>
      <c r="R544" s="657">
        <v>4947</v>
      </c>
      <c r="S544" s="657">
        <v>118889</v>
      </c>
      <c r="T544" s="657">
        <v>20767</v>
      </c>
      <c r="U544" s="657">
        <v>3629.8939999999998</v>
      </c>
      <c r="V544" s="655">
        <v>2021</v>
      </c>
      <c r="W544" s="659"/>
      <c r="X544" s="660">
        <f t="shared" si="26"/>
        <v>5.721103701650792</v>
      </c>
      <c r="Y544" s="661" t="str">
        <f t="shared" si="24"/>
        <v/>
      </c>
      <c r="Z544" s="661" t="str">
        <f t="shared" si="25"/>
        <v/>
      </c>
    </row>
    <row r="545" spans="1:26" s="128" customFormat="1" hidden="1">
      <c r="A545" s="655">
        <v>10495</v>
      </c>
      <c r="B545" s="656" t="s">
        <v>54</v>
      </c>
      <c r="C545" s="655" t="s">
        <v>2793</v>
      </c>
      <c r="D545" s="656" t="s">
        <v>91</v>
      </c>
      <c r="E545" s="656" t="s">
        <v>2801</v>
      </c>
      <c r="F545" s="655">
        <v>61813</v>
      </c>
      <c r="G545" s="656" t="s">
        <v>90</v>
      </c>
      <c r="H545" s="656" t="s">
        <v>1183</v>
      </c>
      <c r="I545" s="656" t="s">
        <v>58</v>
      </c>
      <c r="J545" s="655">
        <v>22</v>
      </c>
      <c r="K545" s="655">
        <v>3</v>
      </c>
      <c r="L545" s="656" t="s">
        <v>55</v>
      </c>
      <c r="M545" s="656" t="s">
        <v>42</v>
      </c>
      <c r="N545" s="656" t="s">
        <v>402</v>
      </c>
      <c r="O545" s="656" t="s">
        <v>82</v>
      </c>
      <c r="P545" s="656" t="s">
        <v>45</v>
      </c>
      <c r="Q545" s="657">
        <v>60331</v>
      </c>
      <c r="R545" s="657">
        <v>10828</v>
      </c>
      <c r="S545" s="657">
        <v>1809930</v>
      </c>
      <c r="T545" s="657">
        <v>324818</v>
      </c>
      <c r="U545" s="657">
        <v>57270.98</v>
      </c>
      <c r="V545" s="655">
        <v>2021</v>
      </c>
      <c r="W545" s="659"/>
      <c r="X545" s="660">
        <f t="shared" si="26"/>
        <v>5.6715984255900631</v>
      </c>
      <c r="Y545" s="661" t="str">
        <f t="shared" si="24"/>
        <v/>
      </c>
      <c r="Z545" s="661" t="str">
        <f t="shared" si="25"/>
        <v/>
      </c>
    </row>
    <row r="546" spans="1:26" s="128" customFormat="1" hidden="1">
      <c r="A546" s="655">
        <v>10495</v>
      </c>
      <c r="B546" s="656" t="s">
        <v>54</v>
      </c>
      <c r="C546" s="655" t="s">
        <v>2793</v>
      </c>
      <c r="D546" s="656" t="s">
        <v>91</v>
      </c>
      <c r="E546" s="656" t="s">
        <v>2801</v>
      </c>
      <c r="F546" s="655">
        <v>61813</v>
      </c>
      <c r="G546" s="656" t="s">
        <v>90</v>
      </c>
      <c r="H546" s="656" t="s">
        <v>1183</v>
      </c>
      <c r="I546" s="656" t="s">
        <v>58</v>
      </c>
      <c r="J546" s="655">
        <v>22</v>
      </c>
      <c r="K546" s="655">
        <v>3</v>
      </c>
      <c r="L546" s="656" t="s">
        <v>55</v>
      </c>
      <c r="M546" s="656" t="s">
        <v>42</v>
      </c>
      <c r="N546" s="656" t="s">
        <v>69</v>
      </c>
      <c r="O546" s="656" t="s">
        <v>70</v>
      </c>
      <c r="P546" s="656" t="s">
        <v>45</v>
      </c>
      <c r="Q546" s="657">
        <v>232050</v>
      </c>
      <c r="R546" s="657">
        <v>41703</v>
      </c>
      <c r="S546" s="657">
        <v>1972428</v>
      </c>
      <c r="T546" s="657">
        <v>354468</v>
      </c>
      <c r="U546" s="657">
        <v>62921.290999999997</v>
      </c>
      <c r="V546" s="655">
        <v>2021</v>
      </c>
      <c r="W546" s="659"/>
      <c r="X546" s="660">
        <f t="shared" si="26"/>
        <v>5.6335144172423295</v>
      </c>
      <c r="Y546" s="661" t="str">
        <f t="shared" si="24"/>
        <v/>
      </c>
      <c r="Z546" s="661" t="str">
        <f t="shared" si="25"/>
        <v/>
      </c>
    </row>
    <row r="547" spans="1:26" s="128" customFormat="1" ht="25" hidden="1">
      <c r="A547" s="655">
        <v>10503</v>
      </c>
      <c r="B547" s="656" t="s">
        <v>33</v>
      </c>
      <c r="C547" s="655" t="s">
        <v>2793</v>
      </c>
      <c r="D547" s="656" t="s">
        <v>798</v>
      </c>
      <c r="E547" s="656" t="s">
        <v>92</v>
      </c>
      <c r="F547" s="655">
        <v>20541</v>
      </c>
      <c r="G547" s="656" t="s">
        <v>57</v>
      </c>
      <c r="H547" s="656" t="s">
        <v>1182</v>
      </c>
      <c r="I547" s="656" t="s">
        <v>58</v>
      </c>
      <c r="J547" s="655">
        <v>22</v>
      </c>
      <c r="K547" s="655">
        <v>2</v>
      </c>
      <c r="L547" s="656" t="s">
        <v>52</v>
      </c>
      <c r="M547" s="656" t="s">
        <v>42</v>
      </c>
      <c r="N547" s="656" t="s">
        <v>16</v>
      </c>
      <c r="O547" s="656" t="s">
        <v>64</v>
      </c>
      <c r="P547" s="656" t="s">
        <v>45</v>
      </c>
      <c r="Q547" s="657">
        <v>86081</v>
      </c>
      <c r="R547" s="657">
        <v>86081</v>
      </c>
      <c r="S547" s="657">
        <v>660403</v>
      </c>
      <c r="T547" s="657">
        <v>660403</v>
      </c>
      <c r="U547" s="657">
        <v>28988.064999999999</v>
      </c>
      <c r="V547" s="655">
        <v>2021</v>
      </c>
      <c r="W547" s="659"/>
      <c r="X547" s="660">
        <f t="shared" si="26"/>
        <v>22.781893168792053</v>
      </c>
      <c r="Y547" s="661" t="str">
        <f t="shared" si="24"/>
        <v/>
      </c>
      <c r="Z547" s="661" t="str">
        <f t="shared" si="25"/>
        <v/>
      </c>
    </row>
    <row r="548" spans="1:26" s="128" customFormat="1" ht="25" hidden="1">
      <c r="A548" s="655">
        <v>10503</v>
      </c>
      <c r="B548" s="656" t="s">
        <v>33</v>
      </c>
      <c r="C548" s="655" t="s">
        <v>2793</v>
      </c>
      <c r="D548" s="656" t="s">
        <v>798</v>
      </c>
      <c r="E548" s="656" t="s">
        <v>92</v>
      </c>
      <c r="F548" s="655">
        <v>20541</v>
      </c>
      <c r="G548" s="656" t="s">
        <v>57</v>
      </c>
      <c r="H548" s="656" t="s">
        <v>1182</v>
      </c>
      <c r="I548" s="656" t="s">
        <v>58</v>
      </c>
      <c r="J548" s="655">
        <v>22</v>
      </c>
      <c r="K548" s="655">
        <v>2</v>
      </c>
      <c r="L548" s="656" t="s">
        <v>52</v>
      </c>
      <c r="M548" s="656" t="s">
        <v>42</v>
      </c>
      <c r="N548" s="656" t="s">
        <v>17</v>
      </c>
      <c r="O548" s="656" t="s">
        <v>82</v>
      </c>
      <c r="P548" s="656" t="s">
        <v>45</v>
      </c>
      <c r="Q548" s="657">
        <v>55032</v>
      </c>
      <c r="R548" s="657">
        <v>55032</v>
      </c>
      <c r="S548" s="657">
        <v>807172</v>
      </c>
      <c r="T548" s="657">
        <v>807172</v>
      </c>
      <c r="U548" s="657">
        <v>35430.362999999998</v>
      </c>
      <c r="V548" s="655">
        <v>2021</v>
      </c>
      <c r="W548" s="659"/>
      <c r="X548" s="660">
        <f t="shared" si="26"/>
        <v>22.781928596102727</v>
      </c>
      <c r="Y548" s="661" t="str">
        <f t="shared" si="24"/>
        <v/>
      </c>
      <c r="Z548" s="661" t="str">
        <f t="shared" si="25"/>
        <v/>
      </c>
    </row>
    <row r="549" spans="1:26" s="128" customFormat="1" ht="25" hidden="1">
      <c r="A549" s="655">
        <v>10503</v>
      </c>
      <c r="B549" s="656" t="s">
        <v>33</v>
      </c>
      <c r="C549" s="655" t="s">
        <v>2793</v>
      </c>
      <c r="D549" s="656" t="s">
        <v>798</v>
      </c>
      <c r="E549" s="656" t="s">
        <v>92</v>
      </c>
      <c r="F549" s="655">
        <v>20541</v>
      </c>
      <c r="G549" s="656" t="s">
        <v>57</v>
      </c>
      <c r="H549" s="656" t="s">
        <v>1182</v>
      </c>
      <c r="I549" s="656" t="s">
        <v>58</v>
      </c>
      <c r="J549" s="655">
        <v>22</v>
      </c>
      <c r="K549" s="655">
        <v>2</v>
      </c>
      <c r="L549" s="656" t="s">
        <v>52</v>
      </c>
      <c r="M549" s="656" t="s">
        <v>42</v>
      </c>
      <c r="N549" s="656" t="s">
        <v>39</v>
      </c>
      <c r="O549" s="656" t="s">
        <v>39</v>
      </c>
      <c r="P549" s="656" t="s">
        <v>1037</v>
      </c>
      <c r="Q549" s="657">
        <v>1440</v>
      </c>
      <c r="R549" s="657">
        <v>1440</v>
      </c>
      <c r="S549" s="657">
        <v>1440</v>
      </c>
      <c r="T549" s="657">
        <v>1440</v>
      </c>
      <c r="U549" s="657">
        <v>61.572000000000003</v>
      </c>
      <c r="V549" s="655">
        <v>2021</v>
      </c>
      <c r="W549" s="659"/>
      <c r="X549" s="660">
        <f t="shared" si="26"/>
        <v>23.387253946599103</v>
      </c>
      <c r="Y549" s="661" t="str">
        <f t="shared" si="24"/>
        <v/>
      </c>
      <c r="Z549" s="661" t="str">
        <f t="shared" si="25"/>
        <v/>
      </c>
    </row>
    <row r="550" spans="1:26" s="128" customFormat="1" hidden="1">
      <c r="A550" s="655">
        <v>10511</v>
      </c>
      <c r="B550" s="656" t="s">
        <v>54</v>
      </c>
      <c r="C550" s="655" t="s">
        <v>2793</v>
      </c>
      <c r="D550" s="656" t="s">
        <v>415</v>
      </c>
      <c r="E550" s="656" t="s">
        <v>416</v>
      </c>
      <c r="F550" s="655">
        <v>56174</v>
      </c>
      <c r="G550" s="656" t="s">
        <v>57</v>
      </c>
      <c r="H550" s="656" t="s">
        <v>1182</v>
      </c>
      <c r="I550" s="656" t="s">
        <v>58</v>
      </c>
      <c r="J550" s="655">
        <v>322122</v>
      </c>
      <c r="K550" s="655">
        <v>7</v>
      </c>
      <c r="L550" s="656" t="s">
        <v>409</v>
      </c>
      <c r="M550" s="656" t="s">
        <v>42</v>
      </c>
      <c r="N550" s="656" t="s">
        <v>39</v>
      </c>
      <c r="O550" s="656" t="s">
        <v>39</v>
      </c>
      <c r="P550" s="656" t="s">
        <v>1037</v>
      </c>
      <c r="Q550" s="657">
        <v>1829882</v>
      </c>
      <c r="R550" s="657">
        <v>191402</v>
      </c>
      <c r="S550" s="657">
        <v>1884778</v>
      </c>
      <c r="T550" s="657">
        <v>197145</v>
      </c>
      <c r="U550" s="657">
        <v>38285.421999999999</v>
      </c>
      <c r="V550" s="655">
        <v>2021</v>
      </c>
      <c r="W550" s="659"/>
      <c r="X550" s="660" t="str">
        <f t="shared" si="26"/>
        <v/>
      </c>
      <c r="Y550" s="661" t="str">
        <f t="shared" si="24"/>
        <v/>
      </c>
      <c r="Z550" s="661" t="str">
        <f t="shared" si="25"/>
        <v/>
      </c>
    </row>
    <row r="551" spans="1:26" s="128" customFormat="1" hidden="1">
      <c r="A551" s="655">
        <v>10511</v>
      </c>
      <c r="B551" s="656" t="s">
        <v>54</v>
      </c>
      <c r="C551" s="655" t="s">
        <v>2793</v>
      </c>
      <c r="D551" s="656" t="s">
        <v>415</v>
      </c>
      <c r="E551" s="656" t="s">
        <v>416</v>
      </c>
      <c r="F551" s="655">
        <v>56174</v>
      </c>
      <c r="G551" s="656" t="s">
        <v>57</v>
      </c>
      <c r="H551" s="656" t="s">
        <v>1182</v>
      </c>
      <c r="I551" s="656" t="s">
        <v>58</v>
      </c>
      <c r="J551" s="655">
        <v>322122</v>
      </c>
      <c r="K551" s="655">
        <v>7</v>
      </c>
      <c r="L551" s="656" t="s">
        <v>409</v>
      </c>
      <c r="M551" s="656" t="s">
        <v>42</v>
      </c>
      <c r="N551" s="656" t="s">
        <v>61</v>
      </c>
      <c r="O551" s="656" t="s">
        <v>61</v>
      </c>
      <c r="P551" s="656" t="s">
        <v>47</v>
      </c>
      <c r="Q551" s="657">
        <v>0</v>
      </c>
      <c r="R551" s="657">
        <v>0</v>
      </c>
      <c r="S551" s="657">
        <v>0</v>
      </c>
      <c r="T551" s="657">
        <v>0</v>
      </c>
      <c r="U551" s="657">
        <v>0</v>
      </c>
      <c r="V551" s="655">
        <v>2021</v>
      </c>
      <c r="W551" s="659"/>
      <c r="X551" s="660" t="str">
        <f t="shared" si="26"/>
        <v/>
      </c>
      <c r="Y551" s="661" t="str">
        <f t="shared" si="24"/>
        <v/>
      </c>
      <c r="Z551" s="661" t="str">
        <f t="shared" si="25"/>
        <v/>
      </c>
    </row>
    <row r="552" spans="1:26" s="128" customFormat="1" hidden="1">
      <c r="A552" s="655">
        <v>10511</v>
      </c>
      <c r="B552" s="656" t="s">
        <v>54</v>
      </c>
      <c r="C552" s="655" t="s">
        <v>2793</v>
      </c>
      <c r="D552" s="656" t="s">
        <v>415</v>
      </c>
      <c r="E552" s="656" t="s">
        <v>416</v>
      </c>
      <c r="F552" s="655">
        <v>56174</v>
      </c>
      <c r="G552" s="656" t="s">
        <v>57</v>
      </c>
      <c r="H552" s="656" t="s">
        <v>1182</v>
      </c>
      <c r="I552" s="656" t="s">
        <v>58</v>
      </c>
      <c r="J552" s="655">
        <v>322122</v>
      </c>
      <c r="K552" s="655">
        <v>7</v>
      </c>
      <c r="L552" s="656" t="s">
        <v>409</v>
      </c>
      <c r="M552" s="656" t="s">
        <v>42</v>
      </c>
      <c r="N552" s="656" t="s">
        <v>417</v>
      </c>
      <c r="O552" s="656" t="s">
        <v>70</v>
      </c>
      <c r="P552" s="656" t="s">
        <v>47</v>
      </c>
      <c r="Q552" s="657">
        <v>1353120</v>
      </c>
      <c r="R552" s="657">
        <v>143463</v>
      </c>
      <c r="S552" s="657">
        <v>2841551</v>
      </c>
      <c r="T552" s="657">
        <v>301273</v>
      </c>
      <c r="U552" s="657">
        <v>58507.286999999997</v>
      </c>
      <c r="V552" s="655">
        <v>2021</v>
      </c>
      <c r="W552" s="659"/>
      <c r="X552" s="660" t="str">
        <f t="shared" si="26"/>
        <v/>
      </c>
      <c r="Y552" s="661" t="str">
        <f t="shared" si="24"/>
        <v/>
      </c>
      <c r="Z552" s="661" t="str">
        <f t="shared" si="25"/>
        <v/>
      </c>
    </row>
    <row r="553" spans="1:26" s="128" customFormat="1" hidden="1">
      <c r="A553" s="655">
        <v>10511</v>
      </c>
      <c r="B553" s="656" t="s">
        <v>54</v>
      </c>
      <c r="C553" s="655" t="s">
        <v>2793</v>
      </c>
      <c r="D553" s="656" t="s">
        <v>415</v>
      </c>
      <c r="E553" s="656" t="s">
        <v>416</v>
      </c>
      <c r="F553" s="655">
        <v>56174</v>
      </c>
      <c r="G553" s="656" t="s">
        <v>57</v>
      </c>
      <c r="H553" s="656" t="s">
        <v>1182</v>
      </c>
      <c r="I553" s="656" t="s">
        <v>58</v>
      </c>
      <c r="J553" s="655">
        <v>322122</v>
      </c>
      <c r="K553" s="655">
        <v>7</v>
      </c>
      <c r="L553" s="656" t="s">
        <v>409</v>
      </c>
      <c r="M553" s="656" t="s">
        <v>42</v>
      </c>
      <c r="N553" s="656" t="s">
        <v>69</v>
      </c>
      <c r="O553" s="656" t="s">
        <v>70</v>
      </c>
      <c r="P553" s="656" t="s">
        <v>45</v>
      </c>
      <c r="Q553" s="657">
        <v>128713</v>
      </c>
      <c r="R553" s="657">
        <v>14102</v>
      </c>
      <c r="S553" s="657">
        <v>978220</v>
      </c>
      <c r="T553" s="657">
        <v>107180</v>
      </c>
      <c r="U553" s="657">
        <v>20814.272000000001</v>
      </c>
      <c r="V553" s="655">
        <v>2021</v>
      </c>
      <c r="W553" s="659"/>
      <c r="X553" s="660" t="str">
        <f t="shared" si="26"/>
        <v/>
      </c>
      <c r="Y553" s="661" t="str">
        <f t="shared" si="24"/>
        <v/>
      </c>
      <c r="Z553" s="661" t="str">
        <f t="shared" si="25"/>
        <v/>
      </c>
    </row>
    <row r="554" spans="1:26" s="128" customFormat="1" hidden="1">
      <c r="A554" s="655">
        <v>10519</v>
      </c>
      <c r="B554" s="656" t="s">
        <v>33</v>
      </c>
      <c r="C554" s="655" t="s">
        <v>2793</v>
      </c>
      <c r="D554" s="656" t="s">
        <v>1830</v>
      </c>
      <c r="E554" s="656" t="s">
        <v>1831</v>
      </c>
      <c r="F554" s="655">
        <v>16498</v>
      </c>
      <c r="G554" s="656" t="s">
        <v>96</v>
      </c>
      <c r="H554" s="656" t="s">
        <v>1183</v>
      </c>
      <c r="I554" s="656" t="s">
        <v>58</v>
      </c>
      <c r="J554" s="655">
        <v>22</v>
      </c>
      <c r="K554" s="655">
        <v>2</v>
      </c>
      <c r="L554" s="656" t="s">
        <v>52</v>
      </c>
      <c r="M554" s="656" t="s">
        <v>35</v>
      </c>
      <c r="N554" s="656" t="s">
        <v>36</v>
      </c>
      <c r="O554" s="656" t="s">
        <v>37</v>
      </c>
      <c r="P554" s="656" t="s">
        <v>1176</v>
      </c>
      <c r="Q554" s="657">
        <v>0</v>
      </c>
      <c r="R554" s="657">
        <v>0</v>
      </c>
      <c r="S554" s="657">
        <v>50538</v>
      </c>
      <c r="T554" s="657">
        <v>50538</v>
      </c>
      <c r="U554" s="657">
        <v>5715</v>
      </c>
      <c r="V554" s="655">
        <v>2021</v>
      </c>
      <c r="W554" s="659"/>
      <c r="X554" s="660">
        <f t="shared" si="26"/>
        <v>8.8430446194225727</v>
      </c>
      <c r="Y554" s="661" t="str">
        <f t="shared" si="24"/>
        <v/>
      </c>
      <c r="Z554" s="661" t="str">
        <f t="shared" si="25"/>
        <v/>
      </c>
    </row>
    <row r="555" spans="1:26" s="128" customFormat="1" ht="25" hidden="1">
      <c r="A555" s="655">
        <v>10521</v>
      </c>
      <c r="B555" s="656" t="s">
        <v>54</v>
      </c>
      <c r="C555" s="655" t="s">
        <v>2793</v>
      </c>
      <c r="D555" s="656" t="s">
        <v>799</v>
      </c>
      <c r="E555" s="656" t="s">
        <v>1903</v>
      </c>
      <c r="F555" s="655">
        <v>60641</v>
      </c>
      <c r="G555" s="656" t="s">
        <v>57</v>
      </c>
      <c r="H555" s="656" t="s">
        <v>1182</v>
      </c>
      <c r="I555" s="656" t="s">
        <v>58</v>
      </c>
      <c r="J555" s="655">
        <v>325</v>
      </c>
      <c r="K555" s="655">
        <v>7</v>
      </c>
      <c r="L555" s="656" t="s">
        <v>409</v>
      </c>
      <c r="M555" s="656" t="s">
        <v>38</v>
      </c>
      <c r="N555" s="656" t="s">
        <v>46</v>
      </c>
      <c r="O555" s="656" t="s">
        <v>46</v>
      </c>
      <c r="P555" s="656" t="s">
        <v>47</v>
      </c>
      <c r="Q555" s="657">
        <v>7713</v>
      </c>
      <c r="R555" s="657">
        <v>263</v>
      </c>
      <c r="S555" s="657">
        <v>44735</v>
      </c>
      <c r="T555" s="657">
        <v>1529</v>
      </c>
      <c r="U555" s="657">
        <v>260.91000000000003</v>
      </c>
      <c r="V555" s="655">
        <v>2021</v>
      </c>
      <c r="W555" s="659"/>
      <c r="X555" s="660" t="str">
        <f t="shared" si="26"/>
        <v/>
      </c>
      <c r="Y555" s="661" t="str">
        <f t="shared" si="24"/>
        <v/>
      </c>
      <c r="Z555" s="661" t="str">
        <f t="shared" si="25"/>
        <v/>
      </c>
    </row>
    <row r="556" spans="1:26" s="128" customFormat="1" ht="25" hidden="1">
      <c r="A556" s="655">
        <v>10521</v>
      </c>
      <c r="B556" s="656" t="s">
        <v>54</v>
      </c>
      <c r="C556" s="655" t="s">
        <v>2793</v>
      </c>
      <c r="D556" s="656" t="s">
        <v>799</v>
      </c>
      <c r="E556" s="656" t="s">
        <v>1903</v>
      </c>
      <c r="F556" s="655">
        <v>60641</v>
      </c>
      <c r="G556" s="656" t="s">
        <v>57</v>
      </c>
      <c r="H556" s="656" t="s">
        <v>1182</v>
      </c>
      <c r="I556" s="656" t="s">
        <v>58</v>
      </c>
      <c r="J556" s="655">
        <v>325</v>
      </c>
      <c r="K556" s="655">
        <v>7</v>
      </c>
      <c r="L556" s="656" t="s">
        <v>409</v>
      </c>
      <c r="M556" s="656" t="s">
        <v>38</v>
      </c>
      <c r="N556" s="656" t="s">
        <v>39</v>
      </c>
      <c r="O556" s="656" t="s">
        <v>39</v>
      </c>
      <c r="P556" s="656" t="s">
        <v>1037</v>
      </c>
      <c r="Q556" s="657">
        <v>414055</v>
      </c>
      <c r="R556" s="657">
        <v>50509</v>
      </c>
      <c r="S556" s="657">
        <v>414055</v>
      </c>
      <c r="T556" s="657">
        <v>50509</v>
      </c>
      <c r="U556" s="657">
        <v>8615.56</v>
      </c>
      <c r="V556" s="655">
        <v>2021</v>
      </c>
      <c r="W556" s="659"/>
      <c r="X556" s="660" t="str">
        <f t="shared" si="26"/>
        <v/>
      </c>
      <c r="Y556" s="661" t="str">
        <f t="shared" si="24"/>
        <v/>
      </c>
      <c r="Z556" s="661" t="str">
        <f t="shared" si="25"/>
        <v/>
      </c>
    </row>
    <row r="557" spans="1:26" s="128" customFormat="1" ht="25" hidden="1">
      <c r="A557" s="655">
        <v>10521</v>
      </c>
      <c r="B557" s="656" t="s">
        <v>54</v>
      </c>
      <c r="C557" s="655" t="s">
        <v>2793</v>
      </c>
      <c r="D557" s="656" t="s">
        <v>799</v>
      </c>
      <c r="E557" s="656" t="s">
        <v>1903</v>
      </c>
      <c r="F557" s="655">
        <v>60641</v>
      </c>
      <c r="G557" s="656" t="s">
        <v>57</v>
      </c>
      <c r="H557" s="656" t="s">
        <v>1182</v>
      </c>
      <c r="I557" s="656" t="s">
        <v>58</v>
      </c>
      <c r="J557" s="655">
        <v>325</v>
      </c>
      <c r="K557" s="655">
        <v>7</v>
      </c>
      <c r="L557" s="656" t="s">
        <v>409</v>
      </c>
      <c r="M557" s="656" t="s">
        <v>41</v>
      </c>
      <c r="N557" s="656" t="s">
        <v>46</v>
      </c>
      <c r="O557" s="656" t="s">
        <v>46</v>
      </c>
      <c r="P557" s="656" t="s">
        <v>47</v>
      </c>
      <c r="Q557" s="657">
        <v>0</v>
      </c>
      <c r="R557" s="657">
        <v>0</v>
      </c>
      <c r="S557" s="657">
        <v>0</v>
      </c>
      <c r="T557" s="657">
        <v>0</v>
      </c>
      <c r="U557" s="657">
        <v>0</v>
      </c>
      <c r="V557" s="655">
        <v>2021</v>
      </c>
      <c r="W557" s="659"/>
      <c r="X557" s="660" t="str">
        <f t="shared" si="26"/>
        <v/>
      </c>
      <c r="Y557" s="661" t="str">
        <f t="shared" si="24"/>
        <v/>
      </c>
      <c r="Z557" s="661" t="str">
        <f t="shared" si="25"/>
        <v/>
      </c>
    </row>
    <row r="558" spans="1:26" s="128" customFormat="1" ht="25" hidden="1">
      <c r="A558" s="655">
        <v>10521</v>
      </c>
      <c r="B558" s="656" t="s">
        <v>54</v>
      </c>
      <c r="C558" s="655" t="s">
        <v>2793</v>
      </c>
      <c r="D558" s="656" t="s">
        <v>799</v>
      </c>
      <c r="E558" s="656" t="s">
        <v>1903</v>
      </c>
      <c r="F558" s="655">
        <v>60641</v>
      </c>
      <c r="G558" s="656" t="s">
        <v>57</v>
      </c>
      <c r="H558" s="656" t="s">
        <v>1182</v>
      </c>
      <c r="I558" s="656" t="s">
        <v>58</v>
      </c>
      <c r="J558" s="655">
        <v>325</v>
      </c>
      <c r="K558" s="655">
        <v>7</v>
      </c>
      <c r="L558" s="656" t="s">
        <v>409</v>
      </c>
      <c r="M558" s="656" t="s">
        <v>41</v>
      </c>
      <c r="N558" s="656" t="s">
        <v>39</v>
      </c>
      <c r="O558" s="656" t="s">
        <v>39</v>
      </c>
      <c r="P558" s="656" t="s">
        <v>1037</v>
      </c>
      <c r="Q558" s="657">
        <v>1383036</v>
      </c>
      <c r="R558" s="657">
        <v>706824</v>
      </c>
      <c r="S558" s="657">
        <v>1383036</v>
      </c>
      <c r="T558" s="657">
        <v>706824</v>
      </c>
      <c r="U558" s="657">
        <v>120566.15</v>
      </c>
      <c r="V558" s="655">
        <v>2021</v>
      </c>
      <c r="W558" s="659"/>
      <c r="X558" s="660" t="str">
        <f t="shared" si="26"/>
        <v/>
      </c>
      <c r="Y558" s="661" t="str">
        <f t="shared" si="24"/>
        <v/>
      </c>
      <c r="Z558" s="661" t="str">
        <f t="shared" si="25"/>
        <v/>
      </c>
    </row>
    <row r="559" spans="1:26" s="128" customFormat="1" ht="25" hidden="1">
      <c r="A559" s="655">
        <v>10523</v>
      </c>
      <c r="B559" s="656" t="s">
        <v>33</v>
      </c>
      <c r="C559" s="655" t="s">
        <v>2793</v>
      </c>
      <c r="D559" s="656" t="s">
        <v>800</v>
      </c>
      <c r="E559" s="656" t="s">
        <v>801</v>
      </c>
      <c r="F559" s="655">
        <v>55753</v>
      </c>
      <c r="G559" s="656" t="s">
        <v>90</v>
      </c>
      <c r="H559" s="656" t="s">
        <v>1183</v>
      </c>
      <c r="I559" s="656" t="s">
        <v>58</v>
      </c>
      <c r="J559" s="655">
        <v>22</v>
      </c>
      <c r="K559" s="655">
        <v>2</v>
      </c>
      <c r="L559" s="656" t="s">
        <v>52</v>
      </c>
      <c r="M559" s="656" t="s">
        <v>35</v>
      </c>
      <c r="N559" s="656" t="s">
        <v>36</v>
      </c>
      <c r="O559" s="656" t="s">
        <v>37</v>
      </c>
      <c r="P559" s="656" t="s">
        <v>1176</v>
      </c>
      <c r="Q559" s="657">
        <v>0</v>
      </c>
      <c r="R559" s="657">
        <v>0</v>
      </c>
      <c r="S559" s="657">
        <v>125649</v>
      </c>
      <c r="T559" s="657">
        <v>125649</v>
      </c>
      <c r="U559" s="657">
        <v>14209</v>
      </c>
      <c r="V559" s="655">
        <v>2021</v>
      </c>
      <c r="W559" s="659"/>
      <c r="X559" s="660">
        <f t="shared" si="26"/>
        <v>8.8429164613977065</v>
      </c>
      <c r="Y559" s="661" t="str">
        <f t="shared" si="24"/>
        <v/>
      </c>
      <c r="Z559" s="661" t="str">
        <f t="shared" si="25"/>
        <v/>
      </c>
    </row>
    <row r="560" spans="1:26" s="128" customFormat="1" hidden="1">
      <c r="A560" s="655">
        <v>10526</v>
      </c>
      <c r="B560" s="656" t="s">
        <v>33</v>
      </c>
      <c r="C560" s="655" t="s">
        <v>2793</v>
      </c>
      <c r="D560" s="656" t="s">
        <v>802</v>
      </c>
      <c r="E560" s="656" t="s">
        <v>803</v>
      </c>
      <c r="F560" s="655">
        <v>5226</v>
      </c>
      <c r="G560" s="656" t="s">
        <v>96</v>
      </c>
      <c r="H560" s="656" t="s">
        <v>1183</v>
      </c>
      <c r="I560" s="656" t="s">
        <v>58</v>
      </c>
      <c r="J560" s="655">
        <v>22</v>
      </c>
      <c r="K560" s="655">
        <v>2</v>
      </c>
      <c r="L560" s="656" t="s">
        <v>52</v>
      </c>
      <c r="M560" s="656" t="s">
        <v>35</v>
      </c>
      <c r="N560" s="656" t="s">
        <v>36</v>
      </c>
      <c r="O560" s="656" t="s">
        <v>37</v>
      </c>
      <c r="P560" s="656" t="s">
        <v>1176</v>
      </c>
      <c r="Q560" s="657">
        <v>0</v>
      </c>
      <c r="R560" s="657">
        <v>0</v>
      </c>
      <c r="S560" s="657">
        <v>126234</v>
      </c>
      <c r="T560" s="657">
        <v>126234</v>
      </c>
      <c r="U560" s="657">
        <v>14275</v>
      </c>
      <c r="V560" s="655">
        <v>2021</v>
      </c>
      <c r="W560" s="659"/>
      <c r="X560" s="660">
        <f t="shared" si="26"/>
        <v>8.8430122591943956</v>
      </c>
      <c r="Y560" s="661" t="str">
        <f t="shared" si="24"/>
        <v/>
      </c>
      <c r="Z560" s="661" t="str">
        <f t="shared" si="25"/>
        <v/>
      </c>
    </row>
    <row r="561" spans="1:26" s="128" customFormat="1" ht="25" hidden="1">
      <c r="A561" s="655">
        <v>10530</v>
      </c>
      <c r="B561" s="656" t="s">
        <v>33</v>
      </c>
      <c r="C561" s="655" t="s">
        <v>2793</v>
      </c>
      <c r="D561" s="656" t="s">
        <v>804</v>
      </c>
      <c r="E561" s="656" t="s">
        <v>119</v>
      </c>
      <c r="F561" s="655">
        <v>5914</v>
      </c>
      <c r="G561" s="656" t="s">
        <v>57</v>
      </c>
      <c r="H561" s="656" t="s">
        <v>1182</v>
      </c>
      <c r="I561" s="656" t="s">
        <v>58</v>
      </c>
      <c r="J561" s="655">
        <v>22</v>
      </c>
      <c r="K561" s="655">
        <v>2</v>
      </c>
      <c r="L561" s="656" t="s">
        <v>52</v>
      </c>
      <c r="M561" s="656" t="s">
        <v>35</v>
      </c>
      <c r="N561" s="656" t="s">
        <v>36</v>
      </c>
      <c r="O561" s="656" t="s">
        <v>37</v>
      </c>
      <c r="P561" s="656" t="s">
        <v>1176</v>
      </c>
      <c r="Q561" s="657">
        <v>0</v>
      </c>
      <c r="R561" s="657">
        <v>0</v>
      </c>
      <c r="S561" s="657">
        <v>202276</v>
      </c>
      <c r="T561" s="657">
        <v>202276</v>
      </c>
      <c r="U561" s="657">
        <v>22874</v>
      </c>
      <c r="V561" s="655">
        <v>2021</v>
      </c>
      <c r="W561" s="659"/>
      <c r="X561" s="660">
        <f t="shared" si="26"/>
        <v>8.8430532482294311</v>
      </c>
      <c r="Y561" s="661" t="str">
        <f t="shared" si="24"/>
        <v/>
      </c>
      <c r="Z561" s="661" t="str">
        <f t="shared" si="25"/>
        <v/>
      </c>
    </row>
    <row r="562" spans="1:26" s="128" customFormat="1" ht="25" hidden="1">
      <c r="A562" s="655">
        <v>10531</v>
      </c>
      <c r="B562" s="656" t="s">
        <v>33</v>
      </c>
      <c r="C562" s="655" t="s">
        <v>2793</v>
      </c>
      <c r="D562" s="656" t="s">
        <v>805</v>
      </c>
      <c r="E562" s="656" t="s">
        <v>119</v>
      </c>
      <c r="F562" s="655">
        <v>5914</v>
      </c>
      <c r="G562" s="656" t="s">
        <v>57</v>
      </c>
      <c r="H562" s="656" t="s">
        <v>1182</v>
      </c>
      <c r="I562" s="656" t="s">
        <v>58</v>
      </c>
      <c r="J562" s="655">
        <v>22</v>
      </c>
      <c r="K562" s="655">
        <v>2</v>
      </c>
      <c r="L562" s="656" t="s">
        <v>52</v>
      </c>
      <c r="M562" s="656" t="s">
        <v>35</v>
      </c>
      <c r="N562" s="656" t="s">
        <v>36</v>
      </c>
      <c r="O562" s="656" t="s">
        <v>37</v>
      </c>
      <c r="P562" s="656" t="s">
        <v>1176</v>
      </c>
      <c r="Q562" s="657">
        <v>0</v>
      </c>
      <c r="R562" s="657">
        <v>0</v>
      </c>
      <c r="S562" s="657">
        <v>416319</v>
      </c>
      <c r="T562" s="657">
        <v>416319</v>
      </c>
      <c r="U562" s="657">
        <v>47079</v>
      </c>
      <c r="V562" s="655">
        <v>2021</v>
      </c>
      <c r="W562" s="659"/>
      <c r="X562" s="660">
        <f t="shared" si="26"/>
        <v>8.8429873191868982</v>
      </c>
      <c r="Y562" s="661" t="str">
        <f t="shared" si="24"/>
        <v/>
      </c>
      <c r="Z562" s="661" t="str">
        <f t="shared" si="25"/>
        <v/>
      </c>
    </row>
    <row r="563" spans="1:26" s="128" customFormat="1" ht="25" hidden="1">
      <c r="A563" s="655">
        <v>10538</v>
      </c>
      <c r="B563" s="656" t="s">
        <v>33</v>
      </c>
      <c r="C563" s="655" t="s">
        <v>2793</v>
      </c>
      <c r="D563" s="656" t="s">
        <v>806</v>
      </c>
      <c r="E563" s="656" t="s">
        <v>3106</v>
      </c>
      <c r="F563" s="655">
        <v>64078</v>
      </c>
      <c r="G563" s="656" t="s">
        <v>57</v>
      </c>
      <c r="H563" s="656" t="s">
        <v>1182</v>
      </c>
      <c r="I563" s="656" t="s">
        <v>58</v>
      </c>
      <c r="J563" s="655">
        <v>22</v>
      </c>
      <c r="K563" s="655">
        <v>2</v>
      </c>
      <c r="L563" s="656" t="s">
        <v>52</v>
      </c>
      <c r="M563" s="656" t="s">
        <v>35</v>
      </c>
      <c r="N563" s="656" t="s">
        <v>36</v>
      </c>
      <c r="O563" s="656" t="s">
        <v>37</v>
      </c>
      <c r="P563" s="656" t="s">
        <v>1176</v>
      </c>
      <c r="Q563" s="657">
        <v>0</v>
      </c>
      <c r="R563" s="657">
        <v>0</v>
      </c>
      <c r="S563" s="657">
        <v>132733</v>
      </c>
      <c r="T563" s="657">
        <v>132733</v>
      </c>
      <c r="U563" s="657">
        <v>15010</v>
      </c>
      <c r="V563" s="655">
        <v>2021</v>
      </c>
      <c r="W563" s="659"/>
      <c r="X563" s="660">
        <f t="shared" si="26"/>
        <v>8.8429713524317126</v>
      </c>
      <c r="Y563" s="661" t="str">
        <f t="shared" si="24"/>
        <v/>
      </c>
      <c r="Z563" s="661" t="str">
        <f t="shared" si="25"/>
        <v/>
      </c>
    </row>
    <row r="564" spans="1:26" s="128" customFormat="1" ht="25" hidden="1">
      <c r="A564" s="655">
        <v>10539</v>
      </c>
      <c r="B564" s="656" t="s">
        <v>33</v>
      </c>
      <c r="C564" s="655" t="s">
        <v>2793</v>
      </c>
      <c r="D564" s="656" t="s">
        <v>808</v>
      </c>
      <c r="E564" s="656" t="s">
        <v>3106</v>
      </c>
      <c r="F564" s="655">
        <v>64078</v>
      </c>
      <c r="G564" s="656" t="s">
        <v>57</v>
      </c>
      <c r="H564" s="656" t="s">
        <v>1182</v>
      </c>
      <c r="I564" s="656" t="s">
        <v>58</v>
      </c>
      <c r="J564" s="655">
        <v>22</v>
      </c>
      <c r="K564" s="655">
        <v>2</v>
      </c>
      <c r="L564" s="656" t="s">
        <v>52</v>
      </c>
      <c r="M564" s="656" t="s">
        <v>35</v>
      </c>
      <c r="N564" s="656" t="s">
        <v>36</v>
      </c>
      <c r="O564" s="656" t="s">
        <v>37</v>
      </c>
      <c r="P564" s="656" t="s">
        <v>1176</v>
      </c>
      <c r="Q564" s="657">
        <v>0</v>
      </c>
      <c r="R564" s="657">
        <v>0</v>
      </c>
      <c r="S564" s="657">
        <v>41943</v>
      </c>
      <c r="T564" s="657">
        <v>41943</v>
      </c>
      <c r="U564" s="657">
        <v>4743</v>
      </c>
      <c r="V564" s="655">
        <v>2021</v>
      </c>
      <c r="W564" s="659"/>
      <c r="X564" s="660">
        <f t="shared" si="26"/>
        <v>8.8431372549019613</v>
      </c>
      <c r="Y564" s="661" t="str">
        <f t="shared" si="24"/>
        <v/>
      </c>
      <c r="Z564" s="661" t="str">
        <f t="shared" si="25"/>
        <v/>
      </c>
    </row>
    <row r="565" spans="1:26" s="128" customFormat="1" ht="25" hidden="1">
      <c r="A565" s="655">
        <v>10540</v>
      </c>
      <c r="B565" s="656" t="s">
        <v>33</v>
      </c>
      <c r="C565" s="655" t="s">
        <v>2793</v>
      </c>
      <c r="D565" s="656" t="s">
        <v>809</v>
      </c>
      <c r="E565" s="656" t="s">
        <v>3106</v>
      </c>
      <c r="F565" s="655">
        <v>64078</v>
      </c>
      <c r="G565" s="656" t="s">
        <v>57</v>
      </c>
      <c r="H565" s="656" t="s">
        <v>1182</v>
      </c>
      <c r="I565" s="656" t="s">
        <v>58</v>
      </c>
      <c r="J565" s="655">
        <v>22</v>
      </c>
      <c r="K565" s="655">
        <v>2</v>
      </c>
      <c r="L565" s="656" t="s">
        <v>52</v>
      </c>
      <c r="M565" s="656" t="s">
        <v>35</v>
      </c>
      <c r="N565" s="656" t="s">
        <v>36</v>
      </c>
      <c r="O565" s="656" t="s">
        <v>37</v>
      </c>
      <c r="P565" s="656" t="s">
        <v>1176</v>
      </c>
      <c r="Q565" s="657">
        <v>0</v>
      </c>
      <c r="R565" s="657">
        <v>0</v>
      </c>
      <c r="S565" s="657">
        <v>34716</v>
      </c>
      <c r="T565" s="657">
        <v>34716</v>
      </c>
      <c r="U565" s="657">
        <v>3926</v>
      </c>
      <c r="V565" s="655">
        <v>2021</v>
      </c>
      <c r="W565" s="659"/>
      <c r="X565" s="660">
        <f t="shared" si="26"/>
        <v>8.8425878757004579</v>
      </c>
      <c r="Y565" s="661" t="str">
        <f t="shared" si="24"/>
        <v/>
      </c>
      <c r="Z565" s="661" t="str">
        <f t="shared" si="25"/>
        <v/>
      </c>
    </row>
    <row r="566" spans="1:26" s="128" customFormat="1" ht="25" hidden="1">
      <c r="A566" s="655">
        <v>10544</v>
      </c>
      <c r="B566" s="656" t="s">
        <v>33</v>
      </c>
      <c r="C566" s="655" t="s">
        <v>2793</v>
      </c>
      <c r="D566" s="656" t="s">
        <v>810</v>
      </c>
      <c r="E566" s="656" t="s">
        <v>3106</v>
      </c>
      <c r="F566" s="655">
        <v>64078</v>
      </c>
      <c r="G566" s="656" t="s">
        <v>57</v>
      </c>
      <c r="H566" s="656" t="s">
        <v>1182</v>
      </c>
      <c r="I566" s="656" t="s">
        <v>58</v>
      </c>
      <c r="J566" s="655">
        <v>22</v>
      </c>
      <c r="K566" s="655">
        <v>2</v>
      </c>
      <c r="L566" s="656" t="s">
        <v>52</v>
      </c>
      <c r="M566" s="656" t="s">
        <v>35</v>
      </c>
      <c r="N566" s="656" t="s">
        <v>36</v>
      </c>
      <c r="O566" s="656" t="s">
        <v>37</v>
      </c>
      <c r="P566" s="656" t="s">
        <v>1176</v>
      </c>
      <c r="Q566" s="657">
        <v>0</v>
      </c>
      <c r="R566" s="657">
        <v>0</v>
      </c>
      <c r="S566" s="657">
        <v>88924</v>
      </c>
      <c r="T566" s="657">
        <v>88924</v>
      </c>
      <c r="U566" s="657">
        <v>10056</v>
      </c>
      <c r="V566" s="655">
        <v>2021</v>
      </c>
      <c r="W566" s="659"/>
      <c r="X566" s="660">
        <f t="shared" si="26"/>
        <v>8.8428798727128086</v>
      </c>
      <c r="Y566" s="661" t="str">
        <f t="shared" si="24"/>
        <v/>
      </c>
      <c r="Z566" s="661" t="str">
        <f t="shared" si="25"/>
        <v/>
      </c>
    </row>
    <row r="567" spans="1:26" s="128" customFormat="1" ht="25" hidden="1">
      <c r="A567" s="655">
        <v>10545</v>
      </c>
      <c r="B567" s="656" t="s">
        <v>33</v>
      </c>
      <c r="C567" s="655" t="s">
        <v>2793</v>
      </c>
      <c r="D567" s="656" t="s">
        <v>811</v>
      </c>
      <c r="E567" s="656" t="s">
        <v>3106</v>
      </c>
      <c r="F567" s="655">
        <v>64078</v>
      </c>
      <c r="G567" s="656" t="s">
        <v>57</v>
      </c>
      <c r="H567" s="656" t="s">
        <v>1182</v>
      </c>
      <c r="I567" s="656" t="s">
        <v>58</v>
      </c>
      <c r="J567" s="655">
        <v>22</v>
      </c>
      <c r="K567" s="655">
        <v>2</v>
      </c>
      <c r="L567" s="656" t="s">
        <v>52</v>
      </c>
      <c r="M567" s="656" t="s">
        <v>35</v>
      </c>
      <c r="N567" s="656" t="s">
        <v>36</v>
      </c>
      <c r="O567" s="656" t="s">
        <v>37</v>
      </c>
      <c r="P567" s="656" t="s">
        <v>1176</v>
      </c>
      <c r="Q567" s="657">
        <v>0</v>
      </c>
      <c r="R567" s="657">
        <v>0</v>
      </c>
      <c r="S567" s="657">
        <v>75175</v>
      </c>
      <c r="T567" s="657">
        <v>75175</v>
      </c>
      <c r="U567" s="657">
        <v>8501</v>
      </c>
      <c r="V567" s="655">
        <v>2021</v>
      </c>
      <c r="W567" s="659"/>
      <c r="X567" s="660">
        <f t="shared" si="26"/>
        <v>8.8430772850252914</v>
      </c>
      <c r="Y567" s="661" t="str">
        <f t="shared" si="24"/>
        <v/>
      </c>
      <c r="Z567" s="661" t="str">
        <f t="shared" si="25"/>
        <v/>
      </c>
    </row>
    <row r="568" spans="1:26" s="128" customFormat="1" ht="25" hidden="1">
      <c r="A568" s="655">
        <v>10547</v>
      </c>
      <c r="B568" s="656" t="s">
        <v>33</v>
      </c>
      <c r="C568" s="655" t="s">
        <v>2793</v>
      </c>
      <c r="D568" s="656" t="s">
        <v>812</v>
      </c>
      <c r="E568" s="656" t="s">
        <v>3106</v>
      </c>
      <c r="F568" s="655">
        <v>64078</v>
      </c>
      <c r="G568" s="656" t="s">
        <v>57</v>
      </c>
      <c r="H568" s="656" t="s">
        <v>1182</v>
      </c>
      <c r="I568" s="656" t="s">
        <v>58</v>
      </c>
      <c r="J568" s="655">
        <v>22</v>
      </c>
      <c r="K568" s="655">
        <v>2</v>
      </c>
      <c r="L568" s="656" t="s">
        <v>52</v>
      </c>
      <c r="M568" s="656" t="s">
        <v>35</v>
      </c>
      <c r="N568" s="656" t="s">
        <v>36</v>
      </c>
      <c r="O568" s="656" t="s">
        <v>37</v>
      </c>
      <c r="P568" s="656" t="s">
        <v>1176</v>
      </c>
      <c r="Q568" s="657">
        <v>0</v>
      </c>
      <c r="R568" s="657">
        <v>0</v>
      </c>
      <c r="S568" s="657">
        <v>187658</v>
      </c>
      <c r="T568" s="657">
        <v>187658</v>
      </c>
      <c r="U568" s="657">
        <v>21221</v>
      </c>
      <c r="V568" s="655">
        <v>2021</v>
      </c>
      <c r="W568" s="659"/>
      <c r="X568" s="660">
        <f t="shared" si="26"/>
        <v>8.843032844823524</v>
      </c>
      <c r="Y568" s="661" t="str">
        <f t="shared" si="24"/>
        <v/>
      </c>
      <c r="Z568" s="661" t="str">
        <f t="shared" si="25"/>
        <v/>
      </c>
    </row>
    <row r="569" spans="1:26" s="128" customFormat="1" hidden="1">
      <c r="A569" s="655">
        <v>10549</v>
      </c>
      <c r="B569" s="656" t="s">
        <v>33</v>
      </c>
      <c r="C569" s="655" t="s">
        <v>2793</v>
      </c>
      <c r="D569" s="656" t="s">
        <v>1107</v>
      </c>
      <c r="E569" s="656" t="s">
        <v>1108</v>
      </c>
      <c r="F569" s="655">
        <v>463</v>
      </c>
      <c r="G569" s="656" t="s">
        <v>57</v>
      </c>
      <c r="H569" s="656" t="s">
        <v>1182</v>
      </c>
      <c r="I569" s="656" t="s">
        <v>58</v>
      </c>
      <c r="J569" s="655">
        <v>22</v>
      </c>
      <c r="K569" s="655">
        <v>2</v>
      </c>
      <c r="L569" s="656" t="s">
        <v>52</v>
      </c>
      <c r="M569" s="656" t="s">
        <v>51</v>
      </c>
      <c r="N569" s="656" t="s">
        <v>63</v>
      </c>
      <c r="O569" s="656" t="s">
        <v>64</v>
      </c>
      <c r="P569" s="656" t="s">
        <v>1037</v>
      </c>
      <c r="Q569" s="657">
        <v>0</v>
      </c>
      <c r="R569" s="657">
        <v>0</v>
      </c>
      <c r="S569" s="657">
        <v>0</v>
      </c>
      <c r="T569" s="657">
        <v>0</v>
      </c>
      <c r="U569" s="657">
        <v>0</v>
      </c>
      <c r="V569" s="655">
        <v>2021</v>
      </c>
      <c r="W569" s="659"/>
      <c r="X569" s="660" t="str">
        <f t="shared" si="26"/>
        <v/>
      </c>
      <c r="Y569" s="661" t="str">
        <f t="shared" si="24"/>
        <v/>
      </c>
      <c r="Z569" s="661" t="str">
        <f t="shared" si="25"/>
        <v/>
      </c>
    </row>
    <row r="570" spans="1:26" s="128" customFormat="1" ht="25" hidden="1">
      <c r="A570" s="655">
        <v>10553</v>
      </c>
      <c r="B570" s="656" t="s">
        <v>33</v>
      </c>
      <c r="C570" s="655" t="s">
        <v>2793</v>
      </c>
      <c r="D570" s="656" t="s">
        <v>2127</v>
      </c>
      <c r="E570" s="656" t="s">
        <v>2128</v>
      </c>
      <c r="F570" s="655">
        <v>4385</v>
      </c>
      <c r="G570" s="656" t="s">
        <v>81</v>
      </c>
      <c r="H570" s="656" t="s">
        <v>1183</v>
      </c>
      <c r="I570" s="656" t="s">
        <v>58</v>
      </c>
      <c r="J570" s="655">
        <v>326</v>
      </c>
      <c r="K570" s="655">
        <v>6</v>
      </c>
      <c r="L570" s="656" t="s">
        <v>410</v>
      </c>
      <c r="M570" s="656" t="s">
        <v>51</v>
      </c>
      <c r="N570" s="656" t="s">
        <v>46</v>
      </c>
      <c r="O570" s="656" t="s">
        <v>46</v>
      </c>
      <c r="P570" s="656" t="s">
        <v>47</v>
      </c>
      <c r="Q570" s="657">
        <v>0</v>
      </c>
      <c r="R570" s="657">
        <v>0</v>
      </c>
      <c r="S570" s="657">
        <v>0</v>
      </c>
      <c r="T570" s="657">
        <v>0</v>
      </c>
      <c r="U570" s="657">
        <v>0</v>
      </c>
      <c r="V570" s="655">
        <v>2021</v>
      </c>
      <c r="W570" s="659"/>
      <c r="X570" s="660" t="str">
        <f t="shared" si="26"/>
        <v/>
      </c>
      <c r="Y570" s="661" t="str">
        <f t="shared" si="24"/>
        <v/>
      </c>
      <c r="Z570" s="661" t="str">
        <f t="shared" si="25"/>
        <v/>
      </c>
    </row>
    <row r="571" spans="1:26" s="128" customFormat="1" ht="25" hidden="1">
      <c r="A571" s="655">
        <v>10555</v>
      </c>
      <c r="B571" s="656" t="s">
        <v>33</v>
      </c>
      <c r="C571" s="655" t="s">
        <v>2793</v>
      </c>
      <c r="D571" s="656" t="s">
        <v>813</v>
      </c>
      <c r="E571" s="656" t="s">
        <v>814</v>
      </c>
      <c r="F571" s="655">
        <v>2179</v>
      </c>
      <c r="G571" s="656" t="s">
        <v>90</v>
      </c>
      <c r="H571" s="656" t="s">
        <v>1183</v>
      </c>
      <c r="I571" s="656" t="s">
        <v>58</v>
      </c>
      <c r="J571" s="655">
        <v>22</v>
      </c>
      <c r="K571" s="655">
        <v>2</v>
      </c>
      <c r="L571" s="656" t="s">
        <v>52</v>
      </c>
      <c r="M571" s="656" t="s">
        <v>35</v>
      </c>
      <c r="N571" s="656" t="s">
        <v>36</v>
      </c>
      <c r="O571" s="656" t="s">
        <v>37</v>
      </c>
      <c r="P571" s="656" t="s">
        <v>1176</v>
      </c>
      <c r="Q571" s="657">
        <v>0</v>
      </c>
      <c r="R571" s="657">
        <v>0</v>
      </c>
      <c r="S571" s="657">
        <v>84832</v>
      </c>
      <c r="T571" s="657">
        <v>84832</v>
      </c>
      <c r="U571" s="657">
        <v>9593</v>
      </c>
      <c r="V571" s="655">
        <v>2021</v>
      </c>
      <c r="W571" s="659"/>
      <c r="X571" s="660">
        <f t="shared" si="26"/>
        <v>8.8431147711873237</v>
      </c>
      <c r="Y571" s="661" t="str">
        <f t="shared" si="24"/>
        <v/>
      </c>
      <c r="Z571" s="661" t="str">
        <f t="shared" si="25"/>
        <v/>
      </c>
    </row>
    <row r="572" spans="1:26" s="128" customFormat="1" ht="25">
      <c r="A572" s="655">
        <v>10556</v>
      </c>
      <c r="B572" s="656" t="s">
        <v>33</v>
      </c>
      <c r="C572" s="655" t="s">
        <v>2793</v>
      </c>
      <c r="D572" s="656" t="s">
        <v>815</v>
      </c>
      <c r="E572" s="656" t="s">
        <v>3106</v>
      </c>
      <c r="F572" s="655">
        <v>64078</v>
      </c>
      <c r="G572" s="656" t="s">
        <v>81</v>
      </c>
      <c r="H572" s="656" t="s">
        <v>1183</v>
      </c>
      <c r="I572" s="656" t="s">
        <v>58</v>
      </c>
      <c r="J572" s="655">
        <v>22</v>
      </c>
      <c r="K572" s="655">
        <v>2</v>
      </c>
      <c r="L572" s="656" t="s">
        <v>52</v>
      </c>
      <c r="M572" s="656" t="s">
        <v>35</v>
      </c>
      <c r="N572" s="656" t="s">
        <v>36</v>
      </c>
      <c r="O572" s="656" t="s">
        <v>37</v>
      </c>
      <c r="P572" s="656" t="s">
        <v>1176</v>
      </c>
      <c r="Q572" s="657">
        <v>0</v>
      </c>
      <c r="R572" s="657">
        <v>0</v>
      </c>
      <c r="S572" s="657">
        <v>671017</v>
      </c>
      <c r="T572" s="657">
        <v>671017</v>
      </c>
      <c r="U572" s="657">
        <v>75881</v>
      </c>
      <c r="V572" s="655">
        <v>2021</v>
      </c>
      <c r="W572" s="659"/>
      <c r="X572" s="660">
        <f t="shared" si="26"/>
        <v>8.8430173561234042</v>
      </c>
      <c r="Y572" s="661" t="str">
        <f t="shared" si="24"/>
        <v/>
      </c>
      <c r="Z572" s="661" t="str">
        <f t="shared" si="25"/>
        <v/>
      </c>
    </row>
    <row r="573" spans="1:26" s="128" customFormat="1" ht="25" hidden="1">
      <c r="A573" s="655">
        <v>10567</v>
      </c>
      <c r="B573" s="656" t="s">
        <v>54</v>
      </c>
      <c r="C573" s="655" t="s">
        <v>2793</v>
      </c>
      <c r="D573" s="656" t="s">
        <v>816</v>
      </c>
      <c r="E573" s="656" t="s">
        <v>817</v>
      </c>
      <c r="F573" s="655">
        <v>291</v>
      </c>
      <c r="G573" s="656" t="s">
        <v>41</v>
      </c>
      <c r="H573" s="656" t="s">
        <v>1183</v>
      </c>
      <c r="I573" s="656" t="s">
        <v>58</v>
      </c>
      <c r="J573" s="655">
        <v>22</v>
      </c>
      <c r="K573" s="655">
        <v>3</v>
      </c>
      <c r="L573" s="656" t="s">
        <v>55</v>
      </c>
      <c r="M573" s="656" t="s">
        <v>38</v>
      </c>
      <c r="N573" s="656" t="s">
        <v>46</v>
      </c>
      <c r="O573" s="656" t="s">
        <v>46</v>
      </c>
      <c r="P573" s="656" t="s">
        <v>47</v>
      </c>
      <c r="Q573" s="657">
        <v>0</v>
      </c>
      <c r="R573" s="657">
        <v>0</v>
      </c>
      <c r="S573" s="657">
        <v>0</v>
      </c>
      <c r="T573" s="657">
        <v>0</v>
      </c>
      <c r="U573" s="657">
        <v>2.9220000000000002</v>
      </c>
      <c r="V573" s="655">
        <v>2021</v>
      </c>
      <c r="W573" s="659"/>
      <c r="X573" s="660" t="str">
        <f t="shared" si="26"/>
        <v/>
      </c>
      <c r="Y573" s="661" t="str">
        <f t="shared" si="24"/>
        <v/>
      </c>
      <c r="Z573" s="661" t="str">
        <f t="shared" si="25"/>
        <v/>
      </c>
    </row>
    <row r="574" spans="1:26" s="128" customFormat="1" ht="25" hidden="1">
      <c r="A574" s="655">
        <v>10567</v>
      </c>
      <c r="B574" s="656" t="s">
        <v>54</v>
      </c>
      <c r="C574" s="655" t="s">
        <v>2793</v>
      </c>
      <c r="D574" s="656" t="s">
        <v>816</v>
      </c>
      <c r="E574" s="656" t="s">
        <v>817</v>
      </c>
      <c r="F574" s="655">
        <v>291</v>
      </c>
      <c r="G574" s="656" t="s">
        <v>41</v>
      </c>
      <c r="H574" s="656" t="s">
        <v>1183</v>
      </c>
      <c r="I574" s="656" t="s">
        <v>58</v>
      </c>
      <c r="J574" s="655">
        <v>22</v>
      </c>
      <c r="K574" s="655">
        <v>3</v>
      </c>
      <c r="L574" s="656" t="s">
        <v>55</v>
      </c>
      <c r="M574" s="656" t="s">
        <v>38</v>
      </c>
      <c r="N574" s="656" t="s">
        <v>39</v>
      </c>
      <c r="O574" s="656" t="s">
        <v>39</v>
      </c>
      <c r="P574" s="656" t="s">
        <v>1037</v>
      </c>
      <c r="Q574" s="657">
        <v>0</v>
      </c>
      <c r="R574" s="657">
        <v>0</v>
      </c>
      <c r="S574" s="657">
        <v>0</v>
      </c>
      <c r="T574" s="657">
        <v>0</v>
      </c>
      <c r="U574" s="657">
        <v>5100.2479999999996</v>
      </c>
      <c r="V574" s="655">
        <v>2021</v>
      </c>
      <c r="W574" s="659"/>
      <c r="X574" s="660" t="str">
        <f t="shared" si="26"/>
        <v/>
      </c>
      <c r="Y574" s="661" t="str">
        <f t="shared" si="24"/>
        <v/>
      </c>
      <c r="Z574" s="661" t="str">
        <f t="shared" si="25"/>
        <v/>
      </c>
    </row>
    <row r="575" spans="1:26" s="128" customFormat="1" ht="25" hidden="1">
      <c r="A575" s="655">
        <v>10567</v>
      </c>
      <c r="B575" s="656" t="s">
        <v>54</v>
      </c>
      <c r="C575" s="655" t="s">
        <v>2793</v>
      </c>
      <c r="D575" s="656" t="s">
        <v>816</v>
      </c>
      <c r="E575" s="656" t="s">
        <v>817</v>
      </c>
      <c r="F575" s="655">
        <v>291</v>
      </c>
      <c r="G575" s="656" t="s">
        <v>41</v>
      </c>
      <c r="H575" s="656" t="s">
        <v>1183</v>
      </c>
      <c r="I575" s="656" t="s">
        <v>58</v>
      </c>
      <c r="J575" s="655">
        <v>22</v>
      </c>
      <c r="K575" s="655">
        <v>3</v>
      </c>
      <c r="L575" s="656" t="s">
        <v>55</v>
      </c>
      <c r="M575" s="656" t="s">
        <v>41</v>
      </c>
      <c r="N575" s="656" t="s">
        <v>46</v>
      </c>
      <c r="O575" s="656" t="s">
        <v>46</v>
      </c>
      <c r="P575" s="656" t="s">
        <v>47</v>
      </c>
      <c r="Q575" s="657">
        <v>681</v>
      </c>
      <c r="R575" s="657">
        <v>321</v>
      </c>
      <c r="S575" s="657">
        <v>3902</v>
      </c>
      <c r="T575" s="657">
        <v>1835</v>
      </c>
      <c r="U575" s="657">
        <v>320.68</v>
      </c>
      <c r="V575" s="655">
        <v>2021</v>
      </c>
      <c r="W575" s="659"/>
      <c r="X575" s="660">
        <f t="shared" si="26"/>
        <v>5.7222152925034298</v>
      </c>
      <c r="Y575" s="661" t="str">
        <f t="shared" si="24"/>
        <v/>
      </c>
      <c r="Z575" s="661" t="str">
        <f t="shared" si="25"/>
        <v/>
      </c>
    </row>
    <row r="576" spans="1:26" s="128" customFormat="1" ht="25" hidden="1">
      <c r="A576" s="655">
        <v>10567</v>
      </c>
      <c r="B576" s="656" t="s">
        <v>54</v>
      </c>
      <c r="C576" s="655" t="s">
        <v>2793</v>
      </c>
      <c r="D576" s="656" t="s">
        <v>816</v>
      </c>
      <c r="E576" s="656" t="s">
        <v>817</v>
      </c>
      <c r="F576" s="655">
        <v>291</v>
      </c>
      <c r="G576" s="656" t="s">
        <v>41</v>
      </c>
      <c r="H576" s="656" t="s">
        <v>1183</v>
      </c>
      <c r="I576" s="656" t="s">
        <v>58</v>
      </c>
      <c r="J576" s="655">
        <v>22</v>
      </c>
      <c r="K576" s="655">
        <v>3</v>
      </c>
      <c r="L576" s="656" t="s">
        <v>55</v>
      </c>
      <c r="M576" s="656" t="s">
        <v>41</v>
      </c>
      <c r="N576" s="656" t="s">
        <v>39</v>
      </c>
      <c r="O576" s="656" t="s">
        <v>39</v>
      </c>
      <c r="P576" s="656" t="s">
        <v>1037</v>
      </c>
      <c r="Q576" s="657">
        <v>1506174</v>
      </c>
      <c r="R576" s="657">
        <v>741588</v>
      </c>
      <c r="S576" s="657">
        <v>1548843</v>
      </c>
      <c r="T576" s="657">
        <v>762595</v>
      </c>
      <c r="U576" s="657">
        <v>129314.97</v>
      </c>
      <c r="V576" s="655">
        <v>2021</v>
      </c>
      <c r="W576" s="659"/>
      <c r="X576" s="660">
        <f t="shared" si="26"/>
        <v>5.8971904026270119</v>
      </c>
      <c r="Y576" s="661" t="str">
        <f t="shared" si="24"/>
        <v/>
      </c>
      <c r="Z576" s="661" t="str">
        <f t="shared" si="25"/>
        <v/>
      </c>
    </row>
    <row r="577" spans="1:26" s="128" customFormat="1" hidden="1">
      <c r="A577" s="655">
        <v>10570</v>
      </c>
      <c r="B577" s="656" t="s">
        <v>33</v>
      </c>
      <c r="C577" s="655" t="s">
        <v>2793</v>
      </c>
      <c r="D577" s="656" t="s">
        <v>818</v>
      </c>
      <c r="E577" s="656" t="s">
        <v>819</v>
      </c>
      <c r="F577" s="655">
        <v>23037</v>
      </c>
      <c r="G577" s="656" t="s">
        <v>96</v>
      </c>
      <c r="H577" s="656" t="s">
        <v>1183</v>
      </c>
      <c r="I577" s="656" t="s">
        <v>58</v>
      </c>
      <c r="J577" s="655">
        <v>22</v>
      </c>
      <c r="K577" s="655">
        <v>2</v>
      </c>
      <c r="L577" s="656" t="s">
        <v>52</v>
      </c>
      <c r="M577" s="656" t="s">
        <v>35</v>
      </c>
      <c r="N577" s="656" t="s">
        <v>36</v>
      </c>
      <c r="O577" s="656" t="s">
        <v>37</v>
      </c>
      <c r="P577" s="656" t="s">
        <v>1176</v>
      </c>
      <c r="Q577" s="657">
        <v>0</v>
      </c>
      <c r="R577" s="657">
        <v>0</v>
      </c>
      <c r="S577" s="657">
        <v>86625</v>
      </c>
      <c r="T577" s="657">
        <v>86625</v>
      </c>
      <c r="U577" s="657">
        <v>9796</v>
      </c>
      <c r="V577" s="655">
        <v>2021</v>
      </c>
      <c r="W577" s="659"/>
      <c r="X577" s="660">
        <f t="shared" si="26"/>
        <v>8.8428950592078408</v>
      </c>
      <c r="Y577" s="661" t="str">
        <f t="shared" si="24"/>
        <v/>
      </c>
      <c r="Z577" s="661" t="str">
        <f t="shared" si="25"/>
        <v/>
      </c>
    </row>
    <row r="578" spans="1:26" s="128" customFormat="1" ht="25" hidden="1">
      <c r="A578" s="655">
        <v>10608</v>
      </c>
      <c r="B578" s="656" t="s">
        <v>33</v>
      </c>
      <c r="C578" s="655" t="s">
        <v>2793</v>
      </c>
      <c r="D578" s="656" t="s">
        <v>820</v>
      </c>
      <c r="E578" s="656" t="s">
        <v>821</v>
      </c>
      <c r="F578" s="655">
        <v>56467</v>
      </c>
      <c r="G578" s="656" t="s">
        <v>89</v>
      </c>
      <c r="H578" s="656" t="s">
        <v>1183</v>
      </c>
      <c r="I578" s="656" t="s">
        <v>58</v>
      </c>
      <c r="J578" s="655">
        <v>22</v>
      </c>
      <c r="K578" s="655">
        <v>2</v>
      </c>
      <c r="L578" s="656" t="s">
        <v>52</v>
      </c>
      <c r="M578" s="656" t="s">
        <v>35</v>
      </c>
      <c r="N578" s="656" t="s">
        <v>36</v>
      </c>
      <c r="O578" s="656" t="s">
        <v>37</v>
      </c>
      <c r="P578" s="656" t="s">
        <v>1176</v>
      </c>
      <c r="Q578" s="657">
        <v>0</v>
      </c>
      <c r="R578" s="657">
        <v>0</v>
      </c>
      <c r="S578" s="657">
        <v>171165</v>
      </c>
      <c r="T578" s="657">
        <v>171165</v>
      </c>
      <c r="U578" s="657">
        <v>19356</v>
      </c>
      <c r="V578" s="655">
        <v>2021</v>
      </c>
      <c r="W578" s="659"/>
      <c r="X578" s="660">
        <f t="shared" si="26"/>
        <v>8.8429944203347794</v>
      </c>
      <c r="Y578" s="661" t="str">
        <f t="shared" si="24"/>
        <v/>
      </c>
      <c r="Z578" s="661" t="str">
        <f t="shared" si="25"/>
        <v/>
      </c>
    </row>
    <row r="579" spans="1:26" s="128" customFormat="1" hidden="1">
      <c r="A579" s="655">
        <v>10613</v>
      </c>
      <c r="B579" s="656" t="s">
        <v>54</v>
      </c>
      <c r="C579" s="655" t="s">
        <v>2793</v>
      </c>
      <c r="D579" s="656" t="s">
        <v>2802</v>
      </c>
      <c r="E579" s="656" t="s">
        <v>1051</v>
      </c>
      <c r="F579" s="655">
        <v>5232</v>
      </c>
      <c r="G579" s="656" t="s">
        <v>90</v>
      </c>
      <c r="H579" s="656" t="s">
        <v>1183</v>
      </c>
      <c r="I579" s="656" t="s">
        <v>58</v>
      </c>
      <c r="J579" s="655">
        <v>322122</v>
      </c>
      <c r="K579" s="655">
        <v>7</v>
      </c>
      <c r="L579" s="656" t="s">
        <v>409</v>
      </c>
      <c r="M579" s="656" t="s">
        <v>35</v>
      </c>
      <c r="N579" s="656" t="s">
        <v>36</v>
      </c>
      <c r="O579" s="656" t="s">
        <v>37</v>
      </c>
      <c r="P579" s="656" t="s">
        <v>1176</v>
      </c>
      <c r="Q579" s="657">
        <v>0</v>
      </c>
      <c r="R579" s="657">
        <v>0</v>
      </c>
      <c r="S579" s="657">
        <v>531907</v>
      </c>
      <c r="T579" s="657">
        <v>531907</v>
      </c>
      <c r="U579" s="657">
        <v>60150</v>
      </c>
      <c r="V579" s="655">
        <v>2021</v>
      </c>
      <c r="W579" s="659"/>
      <c r="X579" s="660" t="str">
        <f t="shared" si="26"/>
        <v/>
      </c>
      <c r="Y579" s="661" t="str">
        <f t="shared" si="24"/>
        <v/>
      </c>
      <c r="Z579" s="661" t="str">
        <f t="shared" si="25"/>
        <v/>
      </c>
    </row>
    <row r="580" spans="1:26" s="128" customFormat="1" hidden="1">
      <c r="A580" s="655">
        <v>10613</v>
      </c>
      <c r="B580" s="656" t="s">
        <v>54</v>
      </c>
      <c r="C580" s="655" t="s">
        <v>2793</v>
      </c>
      <c r="D580" s="656" t="s">
        <v>2802</v>
      </c>
      <c r="E580" s="656" t="s">
        <v>1051</v>
      </c>
      <c r="F580" s="655">
        <v>5232</v>
      </c>
      <c r="G580" s="656" t="s">
        <v>90</v>
      </c>
      <c r="H580" s="656" t="s">
        <v>1183</v>
      </c>
      <c r="I580" s="656" t="s">
        <v>58</v>
      </c>
      <c r="J580" s="655">
        <v>322122</v>
      </c>
      <c r="K580" s="655">
        <v>7</v>
      </c>
      <c r="L580" s="656" t="s">
        <v>409</v>
      </c>
      <c r="M580" s="656" t="s">
        <v>42</v>
      </c>
      <c r="N580" s="656" t="s">
        <v>154</v>
      </c>
      <c r="O580" s="656" t="s">
        <v>70</v>
      </c>
      <c r="P580" s="656" t="s">
        <v>45</v>
      </c>
      <c r="Q580" s="657">
        <v>514302</v>
      </c>
      <c r="R580" s="657">
        <v>67906</v>
      </c>
      <c r="S580" s="657">
        <v>6171624</v>
      </c>
      <c r="T580" s="657">
        <v>814857</v>
      </c>
      <c r="U580" s="657">
        <v>183892.13</v>
      </c>
      <c r="V580" s="655">
        <v>2021</v>
      </c>
      <c r="W580" s="659"/>
      <c r="X580" s="660" t="str">
        <f t="shared" si="26"/>
        <v/>
      </c>
      <c r="Y580" s="661" t="str">
        <f t="shared" si="24"/>
        <v/>
      </c>
      <c r="Z580" s="661" t="str">
        <f t="shared" si="25"/>
        <v/>
      </c>
    </row>
    <row r="581" spans="1:26" s="128" customFormat="1" hidden="1">
      <c r="A581" s="655">
        <v>10613</v>
      </c>
      <c r="B581" s="656" t="s">
        <v>54</v>
      </c>
      <c r="C581" s="655" t="s">
        <v>2793</v>
      </c>
      <c r="D581" s="656" t="s">
        <v>2802</v>
      </c>
      <c r="E581" s="656" t="s">
        <v>1051</v>
      </c>
      <c r="F581" s="655">
        <v>5232</v>
      </c>
      <c r="G581" s="656" t="s">
        <v>90</v>
      </c>
      <c r="H581" s="656" t="s">
        <v>1183</v>
      </c>
      <c r="I581" s="656" t="s">
        <v>58</v>
      </c>
      <c r="J581" s="655">
        <v>322122</v>
      </c>
      <c r="K581" s="655">
        <v>7</v>
      </c>
      <c r="L581" s="656" t="s">
        <v>409</v>
      </c>
      <c r="M581" s="656" t="s">
        <v>42</v>
      </c>
      <c r="N581" s="656" t="s">
        <v>39</v>
      </c>
      <c r="O581" s="656" t="s">
        <v>39</v>
      </c>
      <c r="P581" s="656" t="s">
        <v>1037</v>
      </c>
      <c r="Q581" s="657">
        <v>1962332</v>
      </c>
      <c r="R581" s="657">
        <v>261605</v>
      </c>
      <c r="S581" s="657">
        <v>1962332</v>
      </c>
      <c r="T581" s="657">
        <v>261605</v>
      </c>
      <c r="U581" s="657">
        <v>59037.182000000001</v>
      </c>
      <c r="V581" s="655">
        <v>2021</v>
      </c>
      <c r="W581" s="659"/>
      <c r="X581" s="660" t="str">
        <f t="shared" si="26"/>
        <v/>
      </c>
      <c r="Y581" s="661" t="str">
        <f t="shared" si="24"/>
        <v/>
      </c>
      <c r="Z581" s="661" t="str">
        <f t="shared" si="25"/>
        <v/>
      </c>
    </row>
    <row r="582" spans="1:26" s="128" customFormat="1" hidden="1">
      <c r="A582" s="655">
        <v>10613</v>
      </c>
      <c r="B582" s="656" t="s">
        <v>54</v>
      </c>
      <c r="C582" s="655" t="s">
        <v>2793</v>
      </c>
      <c r="D582" s="656" t="s">
        <v>2802</v>
      </c>
      <c r="E582" s="656" t="s">
        <v>1051</v>
      </c>
      <c r="F582" s="655">
        <v>5232</v>
      </c>
      <c r="G582" s="656" t="s">
        <v>90</v>
      </c>
      <c r="H582" s="656" t="s">
        <v>1183</v>
      </c>
      <c r="I582" s="656" t="s">
        <v>58</v>
      </c>
      <c r="J582" s="655">
        <v>322122</v>
      </c>
      <c r="K582" s="655">
        <v>7</v>
      </c>
      <c r="L582" s="656" t="s">
        <v>409</v>
      </c>
      <c r="M582" s="656" t="s">
        <v>42</v>
      </c>
      <c r="N582" s="656" t="s">
        <v>61</v>
      </c>
      <c r="O582" s="656" t="s">
        <v>61</v>
      </c>
      <c r="P582" s="656" t="s">
        <v>47</v>
      </c>
      <c r="Q582" s="657">
        <v>0</v>
      </c>
      <c r="R582" s="657">
        <v>0</v>
      </c>
      <c r="S582" s="657">
        <v>0</v>
      </c>
      <c r="T582" s="657">
        <v>0</v>
      </c>
      <c r="U582" s="657">
        <v>0</v>
      </c>
      <c r="V582" s="655">
        <v>2021</v>
      </c>
      <c r="W582" s="659"/>
      <c r="X582" s="660" t="str">
        <f t="shared" si="26"/>
        <v/>
      </c>
      <c r="Y582" s="661" t="str">
        <f t="shared" si="24"/>
        <v/>
      </c>
      <c r="Z582" s="661" t="str">
        <f t="shared" si="25"/>
        <v/>
      </c>
    </row>
    <row r="583" spans="1:26" s="128" customFormat="1" hidden="1">
      <c r="A583" s="655">
        <v>10613</v>
      </c>
      <c r="B583" s="656" t="s">
        <v>54</v>
      </c>
      <c r="C583" s="655" t="s">
        <v>2793</v>
      </c>
      <c r="D583" s="656" t="s">
        <v>2802</v>
      </c>
      <c r="E583" s="656" t="s">
        <v>1051</v>
      </c>
      <c r="F583" s="655">
        <v>5232</v>
      </c>
      <c r="G583" s="656" t="s">
        <v>90</v>
      </c>
      <c r="H583" s="656" t="s">
        <v>1183</v>
      </c>
      <c r="I583" s="656" t="s">
        <v>58</v>
      </c>
      <c r="J583" s="655">
        <v>322122</v>
      </c>
      <c r="K583" s="655">
        <v>7</v>
      </c>
      <c r="L583" s="656" t="s">
        <v>409</v>
      </c>
      <c r="M583" s="656" t="s">
        <v>42</v>
      </c>
      <c r="N583" s="656" t="s">
        <v>69</v>
      </c>
      <c r="O583" s="656" t="s">
        <v>70</v>
      </c>
      <c r="P583" s="656" t="s">
        <v>45</v>
      </c>
      <c r="Q583" s="657">
        <v>170236</v>
      </c>
      <c r="R583" s="657">
        <v>22614</v>
      </c>
      <c r="S583" s="657">
        <v>1246369</v>
      </c>
      <c r="T583" s="657">
        <v>164937</v>
      </c>
      <c r="U583" s="657">
        <v>37221.690999999999</v>
      </c>
      <c r="V583" s="655">
        <v>2021</v>
      </c>
      <c r="W583" s="659"/>
      <c r="X583" s="660" t="str">
        <f t="shared" si="26"/>
        <v/>
      </c>
      <c r="Y583" s="661" t="str">
        <f t="shared" ref="Y583:Y646" si="27">IF(AND($M583=$Y$2,$N583=$Y$3,NOT($Q583=$R583),NOT($U583=0)),IF($K583=5,$S583/($U583+(8/5)*$U583),IF($K583=7,$S583/($U583+(29/25)*$U583),"")),"")</f>
        <v/>
      </c>
      <c r="Z583" s="661" t="str">
        <f t="shared" ref="Z583:Z646" si="28">IF(AND($M583=$Y$2,$N583=$Y$4,NOT($Q583=$R583),NOT($U583=0)),IF($K583=5,$S583/($U583+(8/5)*$U583),IF($K583=7,$S583/($U583+(29/25)*$U583),"")),"")</f>
        <v/>
      </c>
    </row>
    <row r="584" spans="1:26" s="128" customFormat="1" hidden="1">
      <c r="A584" s="655">
        <v>10617</v>
      </c>
      <c r="B584" s="656" t="s">
        <v>54</v>
      </c>
      <c r="C584" s="655" t="s">
        <v>2793</v>
      </c>
      <c r="D584" s="656" t="s">
        <v>403</v>
      </c>
      <c r="E584" s="656" t="s">
        <v>1170</v>
      </c>
      <c r="F584" s="655">
        <v>58338</v>
      </c>
      <c r="G584" s="656" t="s">
        <v>57</v>
      </c>
      <c r="H584" s="656" t="s">
        <v>1182</v>
      </c>
      <c r="I584" s="656" t="s">
        <v>58</v>
      </c>
      <c r="J584" s="655">
        <v>22</v>
      </c>
      <c r="K584" s="655">
        <v>3</v>
      </c>
      <c r="L584" s="656" t="s">
        <v>55</v>
      </c>
      <c r="M584" s="656" t="s">
        <v>38</v>
      </c>
      <c r="N584" s="656" t="s">
        <v>46</v>
      </c>
      <c r="O584" s="656" t="s">
        <v>46</v>
      </c>
      <c r="P584" s="656" t="s">
        <v>47</v>
      </c>
      <c r="Q584" s="657">
        <v>0</v>
      </c>
      <c r="R584" s="657">
        <v>0</v>
      </c>
      <c r="S584" s="657">
        <v>0</v>
      </c>
      <c r="T584" s="657">
        <v>0</v>
      </c>
      <c r="U584" s="657">
        <v>0</v>
      </c>
      <c r="V584" s="655">
        <v>2021</v>
      </c>
      <c r="W584" s="659"/>
      <c r="X584" s="660" t="str">
        <f t="shared" ref="X584:X647" si="29">IF(OR(K584&gt;3,T584=0,NOT(U584&gt;0)),"",T584/U584)</f>
        <v/>
      </c>
      <c r="Y584" s="661" t="str">
        <f t="shared" si="27"/>
        <v/>
      </c>
      <c r="Z584" s="661" t="str">
        <f t="shared" si="28"/>
        <v/>
      </c>
    </row>
    <row r="585" spans="1:26" s="128" customFormat="1" hidden="1">
      <c r="A585" s="655">
        <v>10617</v>
      </c>
      <c r="B585" s="656" t="s">
        <v>54</v>
      </c>
      <c r="C585" s="655" t="s">
        <v>2793</v>
      </c>
      <c r="D585" s="656" t="s">
        <v>403</v>
      </c>
      <c r="E585" s="656" t="s">
        <v>1170</v>
      </c>
      <c r="F585" s="655">
        <v>58338</v>
      </c>
      <c r="G585" s="656" t="s">
        <v>57</v>
      </c>
      <c r="H585" s="656" t="s">
        <v>1182</v>
      </c>
      <c r="I585" s="656" t="s">
        <v>58</v>
      </c>
      <c r="J585" s="655">
        <v>22</v>
      </c>
      <c r="K585" s="655">
        <v>3</v>
      </c>
      <c r="L585" s="656" t="s">
        <v>55</v>
      </c>
      <c r="M585" s="656" t="s">
        <v>38</v>
      </c>
      <c r="N585" s="656" t="s">
        <v>39</v>
      </c>
      <c r="O585" s="656" t="s">
        <v>39</v>
      </c>
      <c r="P585" s="656" t="s">
        <v>1037</v>
      </c>
      <c r="Q585" s="657">
        <v>306</v>
      </c>
      <c r="R585" s="657">
        <v>112</v>
      </c>
      <c r="S585" s="657">
        <v>312</v>
      </c>
      <c r="T585" s="657">
        <v>114</v>
      </c>
      <c r="U585" s="657">
        <v>18</v>
      </c>
      <c r="V585" s="655">
        <v>2021</v>
      </c>
      <c r="W585" s="659"/>
      <c r="X585" s="660">
        <f t="shared" si="29"/>
        <v>6.333333333333333</v>
      </c>
      <c r="Y585" s="661" t="str">
        <f t="shared" si="27"/>
        <v/>
      </c>
      <c r="Z585" s="661" t="str">
        <f t="shared" si="28"/>
        <v/>
      </c>
    </row>
    <row r="586" spans="1:26" s="128" customFormat="1" hidden="1">
      <c r="A586" s="655">
        <v>10617</v>
      </c>
      <c r="B586" s="656" t="s">
        <v>54</v>
      </c>
      <c r="C586" s="655" t="s">
        <v>2793</v>
      </c>
      <c r="D586" s="656" t="s">
        <v>403</v>
      </c>
      <c r="E586" s="656" t="s">
        <v>1170</v>
      </c>
      <c r="F586" s="655">
        <v>58338</v>
      </c>
      <c r="G586" s="656" t="s">
        <v>57</v>
      </c>
      <c r="H586" s="656" t="s">
        <v>1182</v>
      </c>
      <c r="I586" s="656" t="s">
        <v>58</v>
      </c>
      <c r="J586" s="655">
        <v>22</v>
      </c>
      <c r="K586" s="655">
        <v>3</v>
      </c>
      <c r="L586" s="656" t="s">
        <v>55</v>
      </c>
      <c r="M586" s="656" t="s">
        <v>41</v>
      </c>
      <c r="N586" s="656" t="s">
        <v>46</v>
      </c>
      <c r="O586" s="656" t="s">
        <v>46</v>
      </c>
      <c r="P586" s="656" t="s">
        <v>47</v>
      </c>
      <c r="Q586" s="657">
        <v>0</v>
      </c>
      <c r="R586" s="657">
        <v>0</v>
      </c>
      <c r="S586" s="657">
        <v>0</v>
      </c>
      <c r="T586" s="657">
        <v>0</v>
      </c>
      <c r="U586" s="657">
        <v>0</v>
      </c>
      <c r="V586" s="655">
        <v>2021</v>
      </c>
      <c r="W586" s="659"/>
      <c r="X586" s="660" t="str">
        <f t="shared" si="29"/>
        <v/>
      </c>
      <c r="Y586" s="661" t="str">
        <f t="shared" si="27"/>
        <v/>
      </c>
      <c r="Z586" s="661" t="str">
        <f t="shared" si="28"/>
        <v/>
      </c>
    </row>
    <row r="587" spans="1:26" s="128" customFormat="1" hidden="1">
      <c r="A587" s="655">
        <v>10617</v>
      </c>
      <c r="B587" s="656" t="s">
        <v>54</v>
      </c>
      <c r="C587" s="655" t="s">
        <v>2793</v>
      </c>
      <c r="D587" s="656" t="s">
        <v>403</v>
      </c>
      <c r="E587" s="656" t="s">
        <v>1170</v>
      </c>
      <c r="F587" s="655">
        <v>58338</v>
      </c>
      <c r="G587" s="656" t="s">
        <v>57</v>
      </c>
      <c r="H587" s="656" t="s">
        <v>1182</v>
      </c>
      <c r="I587" s="656" t="s">
        <v>58</v>
      </c>
      <c r="J587" s="655">
        <v>22</v>
      </c>
      <c r="K587" s="655">
        <v>3</v>
      </c>
      <c r="L587" s="656" t="s">
        <v>55</v>
      </c>
      <c r="M587" s="656" t="s">
        <v>41</v>
      </c>
      <c r="N587" s="656" t="s">
        <v>39</v>
      </c>
      <c r="O587" s="656" t="s">
        <v>39</v>
      </c>
      <c r="P587" s="656" t="s">
        <v>1037</v>
      </c>
      <c r="Q587" s="657">
        <v>41287</v>
      </c>
      <c r="R587" s="657">
        <v>27505</v>
      </c>
      <c r="S587" s="657">
        <v>42071</v>
      </c>
      <c r="T587" s="657">
        <v>28028</v>
      </c>
      <c r="U587" s="657">
        <v>4213</v>
      </c>
      <c r="V587" s="655">
        <v>2021</v>
      </c>
      <c r="W587" s="659"/>
      <c r="X587" s="660">
        <f t="shared" si="29"/>
        <v>6.6527415143603132</v>
      </c>
      <c r="Y587" s="661" t="str">
        <f t="shared" si="27"/>
        <v/>
      </c>
      <c r="Z587" s="661" t="str">
        <f t="shared" si="28"/>
        <v/>
      </c>
    </row>
    <row r="588" spans="1:26" s="128" customFormat="1" hidden="1">
      <c r="A588" s="655">
        <v>10620</v>
      </c>
      <c r="B588" s="656" t="s">
        <v>33</v>
      </c>
      <c r="C588" s="655" t="s">
        <v>2793</v>
      </c>
      <c r="D588" s="656" t="s">
        <v>822</v>
      </c>
      <c r="E588" s="656" t="s">
        <v>822</v>
      </c>
      <c r="F588" s="655">
        <v>3085</v>
      </c>
      <c r="G588" s="656" t="s">
        <v>57</v>
      </c>
      <c r="H588" s="656" t="s">
        <v>1182</v>
      </c>
      <c r="I588" s="656" t="s">
        <v>58</v>
      </c>
      <c r="J588" s="655">
        <v>22</v>
      </c>
      <c r="K588" s="655">
        <v>2</v>
      </c>
      <c r="L588" s="656" t="s">
        <v>52</v>
      </c>
      <c r="M588" s="656" t="s">
        <v>38</v>
      </c>
      <c r="N588" s="656" t="s">
        <v>46</v>
      </c>
      <c r="O588" s="656" t="s">
        <v>46</v>
      </c>
      <c r="P588" s="656" t="s">
        <v>47</v>
      </c>
      <c r="Q588" s="657">
        <v>0</v>
      </c>
      <c r="R588" s="657">
        <v>0</v>
      </c>
      <c r="S588" s="657">
        <v>0</v>
      </c>
      <c r="T588" s="657">
        <v>0</v>
      </c>
      <c r="U588" s="657">
        <v>0</v>
      </c>
      <c r="V588" s="655">
        <v>2021</v>
      </c>
      <c r="W588" s="659" t="s">
        <v>3675</v>
      </c>
      <c r="X588" s="660" t="str">
        <f t="shared" si="29"/>
        <v/>
      </c>
      <c r="Y588" s="661" t="str">
        <f t="shared" si="27"/>
        <v/>
      </c>
      <c r="Z588" s="661" t="str">
        <f t="shared" si="28"/>
        <v/>
      </c>
    </row>
    <row r="589" spans="1:26" s="128" customFormat="1" hidden="1">
      <c r="A589" s="655">
        <v>10620</v>
      </c>
      <c r="B589" s="656" t="s">
        <v>33</v>
      </c>
      <c r="C589" s="655" t="s">
        <v>2793</v>
      </c>
      <c r="D589" s="656" t="s">
        <v>822</v>
      </c>
      <c r="E589" s="656" t="s">
        <v>822</v>
      </c>
      <c r="F589" s="655">
        <v>3085</v>
      </c>
      <c r="G589" s="656" t="s">
        <v>57</v>
      </c>
      <c r="H589" s="656" t="s">
        <v>1182</v>
      </c>
      <c r="I589" s="656" t="s">
        <v>58</v>
      </c>
      <c r="J589" s="655">
        <v>22</v>
      </c>
      <c r="K589" s="655">
        <v>2</v>
      </c>
      <c r="L589" s="656" t="s">
        <v>52</v>
      </c>
      <c r="M589" s="656" t="s">
        <v>38</v>
      </c>
      <c r="N589" s="656" t="s">
        <v>39</v>
      </c>
      <c r="O589" s="656" t="s">
        <v>39</v>
      </c>
      <c r="P589" s="656" t="s">
        <v>1037</v>
      </c>
      <c r="Q589" s="657">
        <v>2872</v>
      </c>
      <c r="R589" s="657">
        <v>2872</v>
      </c>
      <c r="S589" s="657">
        <v>2957</v>
      </c>
      <c r="T589" s="657">
        <v>2957</v>
      </c>
      <c r="U589" s="657">
        <v>1517</v>
      </c>
      <c r="V589" s="655">
        <v>2021</v>
      </c>
      <c r="W589" s="659" t="s">
        <v>3675</v>
      </c>
      <c r="X589" s="660">
        <f t="shared" si="29"/>
        <v>1.949241924851681</v>
      </c>
      <c r="Y589" s="661" t="str">
        <f t="shared" si="27"/>
        <v/>
      </c>
      <c r="Z589" s="661" t="str">
        <f t="shared" si="28"/>
        <v/>
      </c>
    </row>
    <row r="590" spans="1:26" s="128" customFormat="1" hidden="1">
      <c r="A590" s="655">
        <v>10620</v>
      </c>
      <c r="B590" s="656" t="s">
        <v>33</v>
      </c>
      <c r="C590" s="655" t="s">
        <v>2793</v>
      </c>
      <c r="D590" s="656" t="s">
        <v>822</v>
      </c>
      <c r="E590" s="656" t="s">
        <v>822</v>
      </c>
      <c r="F590" s="655">
        <v>3085</v>
      </c>
      <c r="G590" s="656" t="s">
        <v>57</v>
      </c>
      <c r="H590" s="656" t="s">
        <v>1182</v>
      </c>
      <c r="I590" s="656" t="s">
        <v>58</v>
      </c>
      <c r="J590" s="655">
        <v>22</v>
      </c>
      <c r="K590" s="655">
        <v>2</v>
      </c>
      <c r="L590" s="656" t="s">
        <v>52</v>
      </c>
      <c r="M590" s="656" t="s">
        <v>41</v>
      </c>
      <c r="N590" s="656" t="s">
        <v>46</v>
      </c>
      <c r="O590" s="656" t="s">
        <v>46</v>
      </c>
      <c r="P590" s="656" t="s">
        <v>47</v>
      </c>
      <c r="Q590" s="657">
        <v>0</v>
      </c>
      <c r="R590" s="657">
        <v>0</v>
      </c>
      <c r="S590" s="657">
        <v>0</v>
      </c>
      <c r="T590" s="657">
        <v>0</v>
      </c>
      <c r="U590" s="657">
        <v>0</v>
      </c>
      <c r="V590" s="655">
        <v>2021</v>
      </c>
      <c r="W590" s="659" t="s">
        <v>3675</v>
      </c>
      <c r="X590" s="660" t="str">
        <f t="shared" si="29"/>
        <v/>
      </c>
      <c r="Y590" s="661" t="str">
        <f t="shared" si="27"/>
        <v/>
      </c>
      <c r="Z590" s="661" t="str">
        <f t="shared" si="28"/>
        <v/>
      </c>
    </row>
    <row r="591" spans="1:26" s="128" customFormat="1" hidden="1">
      <c r="A591" s="655">
        <v>10620</v>
      </c>
      <c r="B591" s="656" t="s">
        <v>33</v>
      </c>
      <c r="C591" s="655" t="s">
        <v>2793</v>
      </c>
      <c r="D591" s="656" t="s">
        <v>822</v>
      </c>
      <c r="E591" s="656" t="s">
        <v>822</v>
      </c>
      <c r="F591" s="655">
        <v>3085</v>
      </c>
      <c r="G591" s="656" t="s">
        <v>57</v>
      </c>
      <c r="H591" s="656" t="s">
        <v>1182</v>
      </c>
      <c r="I591" s="656" t="s">
        <v>58</v>
      </c>
      <c r="J591" s="655">
        <v>22</v>
      </c>
      <c r="K591" s="655">
        <v>2</v>
      </c>
      <c r="L591" s="656" t="s">
        <v>52</v>
      </c>
      <c r="M591" s="656" t="s">
        <v>41</v>
      </c>
      <c r="N591" s="656" t="s">
        <v>39</v>
      </c>
      <c r="O591" s="656" t="s">
        <v>39</v>
      </c>
      <c r="P591" s="656" t="s">
        <v>1037</v>
      </c>
      <c r="Q591" s="657">
        <v>43924</v>
      </c>
      <c r="R591" s="657">
        <v>43924</v>
      </c>
      <c r="S591" s="657">
        <v>45227</v>
      </c>
      <c r="T591" s="657">
        <v>45227</v>
      </c>
      <c r="U591" s="657">
        <v>3403</v>
      </c>
      <c r="V591" s="655">
        <v>2021</v>
      </c>
      <c r="W591" s="659" t="s">
        <v>3675</v>
      </c>
      <c r="X591" s="660">
        <f t="shared" si="29"/>
        <v>13.290332059947106</v>
      </c>
      <c r="Y591" s="661" t="str">
        <f t="shared" si="27"/>
        <v/>
      </c>
      <c r="Z591" s="661" t="str">
        <f t="shared" si="28"/>
        <v/>
      </c>
    </row>
    <row r="592" spans="1:26" s="128" customFormat="1" hidden="1">
      <c r="A592" s="655">
        <v>10621</v>
      </c>
      <c r="B592" s="656" t="s">
        <v>33</v>
      </c>
      <c r="C592" s="655" t="s">
        <v>2793</v>
      </c>
      <c r="D592" s="656" t="s">
        <v>823</v>
      </c>
      <c r="E592" s="656" t="s">
        <v>1171</v>
      </c>
      <c r="F592" s="655">
        <v>58337</v>
      </c>
      <c r="G592" s="656" t="s">
        <v>57</v>
      </c>
      <c r="H592" s="656" t="s">
        <v>1182</v>
      </c>
      <c r="I592" s="656" t="s">
        <v>58</v>
      </c>
      <c r="J592" s="655">
        <v>22</v>
      </c>
      <c r="K592" s="655">
        <v>2</v>
      </c>
      <c r="L592" s="656" t="s">
        <v>52</v>
      </c>
      <c r="M592" s="656" t="s">
        <v>38</v>
      </c>
      <c r="N592" s="656" t="s">
        <v>46</v>
      </c>
      <c r="O592" s="656" t="s">
        <v>46</v>
      </c>
      <c r="P592" s="656" t="s">
        <v>47</v>
      </c>
      <c r="Q592" s="657">
        <v>0</v>
      </c>
      <c r="R592" s="657">
        <v>0</v>
      </c>
      <c r="S592" s="657">
        <v>0</v>
      </c>
      <c r="T592" s="657">
        <v>0</v>
      </c>
      <c r="U592" s="657">
        <v>0</v>
      </c>
      <c r="V592" s="655">
        <v>2021</v>
      </c>
      <c r="W592" s="659" t="s">
        <v>3675</v>
      </c>
      <c r="X592" s="660" t="str">
        <f t="shared" si="29"/>
        <v/>
      </c>
      <c r="Y592" s="661" t="str">
        <f t="shared" si="27"/>
        <v/>
      </c>
      <c r="Z592" s="661" t="str">
        <f t="shared" si="28"/>
        <v/>
      </c>
    </row>
    <row r="593" spans="1:26" s="128" customFormat="1" hidden="1">
      <c r="A593" s="655">
        <v>10621</v>
      </c>
      <c r="B593" s="656" t="s">
        <v>33</v>
      </c>
      <c r="C593" s="655" t="s">
        <v>2793</v>
      </c>
      <c r="D593" s="656" t="s">
        <v>823</v>
      </c>
      <c r="E593" s="656" t="s">
        <v>1171</v>
      </c>
      <c r="F593" s="655">
        <v>58337</v>
      </c>
      <c r="G593" s="656" t="s">
        <v>57</v>
      </c>
      <c r="H593" s="656" t="s">
        <v>1182</v>
      </c>
      <c r="I593" s="656" t="s">
        <v>58</v>
      </c>
      <c r="J593" s="655">
        <v>22</v>
      </c>
      <c r="K593" s="655">
        <v>2</v>
      </c>
      <c r="L593" s="656" t="s">
        <v>52</v>
      </c>
      <c r="M593" s="656" t="s">
        <v>38</v>
      </c>
      <c r="N593" s="656" t="s">
        <v>39</v>
      </c>
      <c r="O593" s="656" t="s">
        <v>39</v>
      </c>
      <c r="P593" s="656" t="s">
        <v>1037</v>
      </c>
      <c r="Q593" s="657">
        <v>5258</v>
      </c>
      <c r="R593" s="657">
        <v>5258</v>
      </c>
      <c r="S593" s="657">
        <v>5174</v>
      </c>
      <c r="T593" s="657">
        <v>5174</v>
      </c>
      <c r="U593" s="657">
        <v>315</v>
      </c>
      <c r="V593" s="655">
        <v>2021</v>
      </c>
      <c r="W593" s="659" t="s">
        <v>3675</v>
      </c>
      <c r="X593" s="660">
        <f t="shared" si="29"/>
        <v>16.425396825396824</v>
      </c>
      <c r="Y593" s="661" t="str">
        <f t="shared" si="27"/>
        <v/>
      </c>
      <c r="Z593" s="661" t="str">
        <f t="shared" si="28"/>
        <v/>
      </c>
    </row>
    <row r="594" spans="1:26" s="128" customFormat="1" hidden="1">
      <c r="A594" s="655">
        <v>10621</v>
      </c>
      <c r="B594" s="656" t="s">
        <v>33</v>
      </c>
      <c r="C594" s="655" t="s">
        <v>2793</v>
      </c>
      <c r="D594" s="656" t="s">
        <v>823</v>
      </c>
      <c r="E594" s="656" t="s">
        <v>1171</v>
      </c>
      <c r="F594" s="655">
        <v>58337</v>
      </c>
      <c r="G594" s="656" t="s">
        <v>57</v>
      </c>
      <c r="H594" s="656" t="s">
        <v>1182</v>
      </c>
      <c r="I594" s="656" t="s">
        <v>58</v>
      </c>
      <c r="J594" s="655">
        <v>22</v>
      </c>
      <c r="K594" s="655">
        <v>2</v>
      </c>
      <c r="L594" s="656" t="s">
        <v>52</v>
      </c>
      <c r="M594" s="656" t="s">
        <v>41</v>
      </c>
      <c r="N594" s="656" t="s">
        <v>46</v>
      </c>
      <c r="O594" s="656" t="s">
        <v>46</v>
      </c>
      <c r="P594" s="656" t="s">
        <v>47</v>
      </c>
      <c r="Q594" s="657">
        <v>0</v>
      </c>
      <c r="R594" s="657">
        <v>0</v>
      </c>
      <c r="S594" s="657">
        <v>0</v>
      </c>
      <c r="T594" s="657">
        <v>0</v>
      </c>
      <c r="U594" s="657">
        <v>0</v>
      </c>
      <c r="V594" s="655">
        <v>2021</v>
      </c>
      <c r="W594" s="659" t="s">
        <v>3675</v>
      </c>
      <c r="X594" s="660" t="str">
        <f t="shared" si="29"/>
        <v/>
      </c>
      <c r="Y594" s="661" t="str">
        <f t="shared" si="27"/>
        <v/>
      </c>
      <c r="Z594" s="661" t="str">
        <f t="shared" si="28"/>
        <v/>
      </c>
    </row>
    <row r="595" spans="1:26" s="128" customFormat="1" hidden="1">
      <c r="A595" s="655">
        <v>10621</v>
      </c>
      <c r="B595" s="656" t="s">
        <v>33</v>
      </c>
      <c r="C595" s="655" t="s">
        <v>2793</v>
      </c>
      <c r="D595" s="656" t="s">
        <v>823</v>
      </c>
      <c r="E595" s="656" t="s">
        <v>1171</v>
      </c>
      <c r="F595" s="655">
        <v>58337</v>
      </c>
      <c r="G595" s="656" t="s">
        <v>57</v>
      </c>
      <c r="H595" s="656" t="s">
        <v>1182</v>
      </c>
      <c r="I595" s="656" t="s">
        <v>58</v>
      </c>
      <c r="J595" s="655">
        <v>22</v>
      </c>
      <c r="K595" s="655">
        <v>2</v>
      </c>
      <c r="L595" s="656" t="s">
        <v>52</v>
      </c>
      <c r="M595" s="656" t="s">
        <v>41</v>
      </c>
      <c r="N595" s="656" t="s">
        <v>39</v>
      </c>
      <c r="O595" s="656" t="s">
        <v>39</v>
      </c>
      <c r="P595" s="656" t="s">
        <v>1037</v>
      </c>
      <c r="Q595" s="657">
        <v>104782</v>
      </c>
      <c r="R595" s="657">
        <v>104782</v>
      </c>
      <c r="S595" s="657">
        <v>103105</v>
      </c>
      <c r="T595" s="657">
        <v>103105</v>
      </c>
      <c r="U595" s="657">
        <v>12047</v>
      </c>
      <c r="V595" s="655">
        <v>2021</v>
      </c>
      <c r="W595" s="659" t="s">
        <v>3675</v>
      </c>
      <c r="X595" s="660">
        <f t="shared" si="29"/>
        <v>8.5585622976674696</v>
      </c>
      <c r="Y595" s="661" t="str">
        <f t="shared" si="27"/>
        <v/>
      </c>
      <c r="Z595" s="661" t="str">
        <f t="shared" si="28"/>
        <v/>
      </c>
    </row>
    <row r="596" spans="1:26" s="128" customFormat="1" ht="25" hidden="1">
      <c r="A596" s="655">
        <v>10642</v>
      </c>
      <c r="B596" s="656" t="s">
        <v>33</v>
      </c>
      <c r="C596" s="655" t="s">
        <v>2793</v>
      </c>
      <c r="D596" s="656" t="s">
        <v>404</v>
      </c>
      <c r="E596" s="656" t="s">
        <v>405</v>
      </c>
      <c r="F596" s="655">
        <v>473</v>
      </c>
      <c r="G596" s="656" t="s">
        <v>57</v>
      </c>
      <c r="H596" s="656" t="s">
        <v>1182</v>
      </c>
      <c r="I596" s="656" t="s">
        <v>58</v>
      </c>
      <c r="J596" s="655">
        <v>22</v>
      </c>
      <c r="K596" s="655">
        <v>2</v>
      </c>
      <c r="L596" s="656" t="s">
        <v>52</v>
      </c>
      <c r="M596" s="656" t="s">
        <v>42</v>
      </c>
      <c r="N596" s="656" t="s">
        <v>46</v>
      </c>
      <c r="O596" s="656" t="s">
        <v>46</v>
      </c>
      <c r="P596" s="656" t="s">
        <v>47</v>
      </c>
      <c r="Q596" s="657">
        <v>1258</v>
      </c>
      <c r="R596" s="657">
        <v>1258</v>
      </c>
      <c r="S596" s="657">
        <v>7398</v>
      </c>
      <c r="T596" s="657">
        <v>7398</v>
      </c>
      <c r="U596" s="657">
        <v>427.50900000000001</v>
      </c>
      <c r="V596" s="655">
        <v>2021</v>
      </c>
      <c r="W596" s="659"/>
      <c r="X596" s="660">
        <f t="shared" si="29"/>
        <v>17.304898844234856</v>
      </c>
      <c r="Y596" s="661" t="str">
        <f t="shared" si="27"/>
        <v/>
      </c>
      <c r="Z596" s="661" t="str">
        <f t="shared" si="28"/>
        <v/>
      </c>
    </row>
    <row r="597" spans="1:26" s="128" customFormat="1" ht="25" hidden="1">
      <c r="A597" s="655">
        <v>10642</v>
      </c>
      <c r="B597" s="656" t="s">
        <v>33</v>
      </c>
      <c r="C597" s="655" t="s">
        <v>2793</v>
      </c>
      <c r="D597" s="656" t="s">
        <v>404</v>
      </c>
      <c r="E597" s="656" t="s">
        <v>405</v>
      </c>
      <c r="F597" s="655">
        <v>473</v>
      </c>
      <c r="G597" s="656" t="s">
        <v>57</v>
      </c>
      <c r="H597" s="656" t="s">
        <v>1182</v>
      </c>
      <c r="I597" s="656" t="s">
        <v>58</v>
      </c>
      <c r="J597" s="655">
        <v>22</v>
      </c>
      <c r="K597" s="655">
        <v>2</v>
      </c>
      <c r="L597" s="656" t="s">
        <v>52</v>
      </c>
      <c r="M597" s="656" t="s">
        <v>42</v>
      </c>
      <c r="N597" s="656" t="s">
        <v>16</v>
      </c>
      <c r="O597" s="656" t="s">
        <v>64</v>
      </c>
      <c r="P597" s="656" t="s">
        <v>45</v>
      </c>
      <c r="Q597" s="657">
        <v>621688</v>
      </c>
      <c r="R597" s="657">
        <v>621688</v>
      </c>
      <c r="S597" s="657">
        <v>4586193</v>
      </c>
      <c r="T597" s="657">
        <v>4586193</v>
      </c>
      <c r="U597" s="657">
        <v>262829.96000000002</v>
      </c>
      <c r="V597" s="655">
        <v>2021</v>
      </c>
      <c r="W597" s="659"/>
      <c r="X597" s="660">
        <f t="shared" si="29"/>
        <v>17.44927785249444</v>
      </c>
      <c r="Y597" s="661" t="str">
        <f t="shared" si="27"/>
        <v/>
      </c>
      <c r="Z597" s="661" t="str">
        <f t="shared" si="28"/>
        <v/>
      </c>
    </row>
    <row r="598" spans="1:26" s="128" customFormat="1" ht="25" hidden="1">
      <c r="A598" s="655">
        <v>10642</v>
      </c>
      <c r="B598" s="656" t="s">
        <v>33</v>
      </c>
      <c r="C598" s="655" t="s">
        <v>2793</v>
      </c>
      <c r="D598" s="656" t="s">
        <v>404</v>
      </c>
      <c r="E598" s="656" t="s">
        <v>405</v>
      </c>
      <c r="F598" s="655">
        <v>473</v>
      </c>
      <c r="G598" s="656" t="s">
        <v>57</v>
      </c>
      <c r="H598" s="656" t="s">
        <v>1182</v>
      </c>
      <c r="I598" s="656" t="s">
        <v>58</v>
      </c>
      <c r="J598" s="655">
        <v>22</v>
      </c>
      <c r="K598" s="655">
        <v>2</v>
      </c>
      <c r="L598" s="656" t="s">
        <v>52</v>
      </c>
      <c r="M598" s="656" t="s">
        <v>42</v>
      </c>
      <c r="N598" s="656" t="s">
        <v>17</v>
      </c>
      <c r="O598" s="656" t="s">
        <v>82</v>
      </c>
      <c r="P598" s="656" t="s">
        <v>45</v>
      </c>
      <c r="Q598" s="657">
        <v>397472</v>
      </c>
      <c r="R598" s="657">
        <v>397472</v>
      </c>
      <c r="S598" s="657">
        <v>5605381</v>
      </c>
      <c r="T598" s="657">
        <v>5605381</v>
      </c>
      <c r="U598" s="657">
        <v>321238.53000000003</v>
      </c>
      <c r="V598" s="655">
        <v>2021</v>
      </c>
      <c r="W598" s="659"/>
      <c r="X598" s="660">
        <f t="shared" si="29"/>
        <v>17.449279823313844</v>
      </c>
      <c r="Y598" s="661" t="str">
        <f t="shared" si="27"/>
        <v/>
      </c>
      <c r="Z598" s="661" t="str">
        <f t="shared" si="28"/>
        <v/>
      </c>
    </row>
    <row r="599" spans="1:26" s="128" customFormat="1" ht="25" hidden="1">
      <c r="A599" s="655">
        <v>10642</v>
      </c>
      <c r="B599" s="656" t="s">
        <v>33</v>
      </c>
      <c r="C599" s="655" t="s">
        <v>2793</v>
      </c>
      <c r="D599" s="656" t="s">
        <v>404</v>
      </c>
      <c r="E599" s="656" t="s">
        <v>405</v>
      </c>
      <c r="F599" s="655">
        <v>473</v>
      </c>
      <c r="G599" s="656" t="s">
        <v>57</v>
      </c>
      <c r="H599" s="656" t="s">
        <v>1182</v>
      </c>
      <c r="I599" s="656" t="s">
        <v>58</v>
      </c>
      <c r="J599" s="655">
        <v>22</v>
      </c>
      <c r="K599" s="655">
        <v>2</v>
      </c>
      <c r="L599" s="656" t="s">
        <v>52</v>
      </c>
      <c r="M599" s="656" t="s">
        <v>42</v>
      </c>
      <c r="N599" s="656" t="s">
        <v>69</v>
      </c>
      <c r="O599" s="656" t="s">
        <v>70</v>
      </c>
      <c r="P599" s="656" t="s">
        <v>45</v>
      </c>
      <c r="Q599" s="657">
        <v>0</v>
      </c>
      <c r="R599" s="657">
        <v>0</v>
      </c>
      <c r="S599" s="657">
        <v>0</v>
      </c>
      <c r="T599" s="657">
        <v>0</v>
      </c>
      <c r="U599" s="657">
        <v>0</v>
      </c>
      <c r="V599" s="655">
        <v>2021</v>
      </c>
      <c r="W599" s="659"/>
      <c r="X599" s="660" t="str">
        <f t="shared" si="29"/>
        <v/>
      </c>
      <c r="Y599" s="661" t="str">
        <f t="shared" si="27"/>
        <v/>
      </c>
      <c r="Z599" s="661" t="str">
        <f t="shared" si="28"/>
        <v/>
      </c>
    </row>
    <row r="600" spans="1:26" s="128" customFormat="1" ht="25" hidden="1">
      <c r="A600" s="655">
        <v>10646</v>
      </c>
      <c r="B600" s="656" t="s">
        <v>33</v>
      </c>
      <c r="C600" s="655" t="s">
        <v>2793</v>
      </c>
      <c r="D600" s="656" t="s">
        <v>824</v>
      </c>
      <c r="E600" s="656" t="s">
        <v>824</v>
      </c>
      <c r="F600" s="655">
        <v>528</v>
      </c>
      <c r="G600" s="656" t="s">
        <v>41</v>
      </c>
      <c r="H600" s="656" t="s">
        <v>1183</v>
      </c>
      <c r="I600" s="656" t="s">
        <v>58</v>
      </c>
      <c r="J600" s="655">
        <v>22</v>
      </c>
      <c r="K600" s="655">
        <v>2</v>
      </c>
      <c r="L600" s="656" t="s">
        <v>52</v>
      </c>
      <c r="M600" s="656" t="s">
        <v>42</v>
      </c>
      <c r="N600" s="656" t="s">
        <v>46</v>
      </c>
      <c r="O600" s="656" t="s">
        <v>46</v>
      </c>
      <c r="P600" s="656" t="s">
        <v>47</v>
      </c>
      <c r="Q600" s="657">
        <v>8397</v>
      </c>
      <c r="R600" s="657">
        <v>8397</v>
      </c>
      <c r="S600" s="657">
        <v>48912</v>
      </c>
      <c r="T600" s="657">
        <v>48912</v>
      </c>
      <c r="U600" s="657">
        <v>2515.8029999999999</v>
      </c>
      <c r="V600" s="655">
        <v>2021</v>
      </c>
      <c r="W600" s="659"/>
      <c r="X600" s="660">
        <f t="shared" si="29"/>
        <v>19.441903837462633</v>
      </c>
      <c r="Y600" s="661" t="str">
        <f t="shared" si="27"/>
        <v/>
      </c>
      <c r="Z600" s="661" t="str">
        <f t="shared" si="28"/>
        <v/>
      </c>
    </row>
    <row r="601" spans="1:26" s="128" customFormat="1" ht="25" hidden="1">
      <c r="A601" s="655">
        <v>10646</v>
      </c>
      <c r="B601" s="656" t="s">
        <v>33</v>
      </c>
      <c r="C601" s="655" t="s">
        <v>2793</v>
      </c>
      <c r="D601" s="656" t="s">
        <v>824</v>
      </c>
      <c r="E601" s="656" t="s">
        <v>824</v>
      </c>
      <c r="F601" s="655">
        <v>528</v>
      </c>
      <c r="G601" s="656" t="s">
        <v>41</v>
      </c>
      <c r="H601" s="656" t="s">
        <v>1183</v>
      </c>
      <c r="I601" s="656" t="s">
        <v>58</v>
      </c>
      <c r="J601" s="655">
        <v>22</v>
      </c>
      <c r="K601" s="655">
        <v>2</v>
      </c>
      <c r="L601" s="656" t="s">
        <v>52</v>
      </c>
      <c r="M601" s="656" t="s">
        <v>42</v>
      </c>
      <c r="N601" s="656" t="s">
        <v>16</v>
      </c>
      <c r="O601" s="656" t="s">
        <v>64</v>
      </c>
      <c r="P601" s="656" t="s">
        <v>45</v>
      </c>
      <c r="Q601" s="657">
        <v>142005</v>
      </c>
      <c r="R601" s="657">
        <v>142005</v>
      </c>
      <c r="S601" s="657">
        <v>1047581</v>
      </c>
      <c r="T601" s="657">
        <v>1047581</v>
      </c>
      <c r="U601" s="657">
        <v>53958.065000000002</v>
      </c>
      <c r="V601" s="655">
        <v>2021</v>
      </c>
      <c r="W601" s="659"/>
      <c r="X601" s="660">
        <f t="shared" si="29"/>
        <v>19.414725120331873</v>
      </c>
      <c r="Y601" s="661" t="str">
        <f t="shared" si="27"/>
        <v/>
      </c>
      <c r="Z601" s="661" t="str">
        <f t="shared" si="28"/>
        <v/>
      </c>
    </row>
    <row r="602" spans="1:26" s="128" customFormat="1" ht="25" hidden="1">
      <c r="A602" s="655">
        <v>10646</v>
      </c>
      <c r="B602" s="656" t="s">
        <v>33</v>
      </c>
      <c r="C602" s="655" t="s">
        <v>2793</v>
      </c>
      <c r="D602" s="656" t="s">
        <v>824</v>
      </c>
      <c r="E602" s="656" t="s">
        <v>824</v>
      </c>
      <c r="F602" s="655">
        <v>528</v>
      </c>
      <c r="G602" s="656" t="s">
        <v>41</v>
      </c>
      <c r="H602" s="656" t="s">
        <v>1183</v>
      </c>
      <c r="I602" s="656" t="s">
        <v>58</v>
      </c>
      <c r="J602" s="655">
        <v>22</v>
      </c>
      <c r="K602" s="655">
        <v>2</v>
      </c>
      <c r="L602" s="656" t="s">
        <v>52</v>
      </c>
      <c r="M602" s="656" t="s">
        <v>42</v>
      </c>
      <c r="N602" s="656" t="s">
        <v>17</v>
      </c>
      <c r="O602" s="656" t="s">
        <v>82</v>
      </c>
      <c r="P602" s="656" t="s">
        <v>45</v>
      </c>
      <c r="Q602" s="657">
        <v>90794</v>
      </c>
      <c r="R602" s="657">
        <v>90794</v>
      </c>
      <c r="S602" s="657">
        <v>1280385</v>
      </c>
      <c r="T602" s="657">
        <v>1280385</v>
      </c>
      <c r="U602" s="657">
        <v>65949.131999999998</v>
      </c>
      <c r="V602" s="655">
        <v>2021</v>
      </c>
      <c r="W602" s="659"/>
      <c r="X602" s="660">
        <f t="shared" si="29"/>
        <v>19.414736193950212</v>
      </c>
      <c r="Y602" s="661" t="str">
        <f t="shared" si="27"/>
        <v/>
      </c>
      <c r="Z602" s="661" t="str">
        <f t="shared" si="28"/>
        <v/>
      </c>
    </row>
    <row r="603" spans="1:26" s="128" customFormat="1" ht="25" hidden="1">
      <c r="A603" s="655">
        <v>10687</v>
      </c>
      <c r="B603" s="656" t="s">
        <v>33</v>
      </c>
      <c r="C603" s="655" t="s">
        <v>2793</v>
      </c>
      <c r="D603" s="656" t="s">
        <v>825</v>
      </c>
      <c r="E603" s="656" t="s">
        <v>3106</v>
      </c>
      <c r="F603" s="655">
        <v>64078</v>
      </c>
      <c r="G603" s="656" t="s">
        <v>57</v>
      </c>
      <c r="H603" s="656" t="s">
        <v>1182</v>
      </c>
      <c r="I603" s="656" t="s">
        <v>58</v>
      </c>
      <c r="J603" s="655">
        <v>22</v>
      </c>
      <c r="K603" s="655">
        <v>2</v>
      </c>
      <c r="L603" s="656" t="s">
        <v>52</v>
      </c>
      <c r="M603" s="656" t="s">
        <v>35</v>
      </c>
      <c r="N603" s="656" t="s">
        <v>36</v>
      </c>
      <c r="O603" s="656" t="s">
        <v>37</v>
      </c>
      <c r="P603" s="656" t="s">
        <v>1176</v>
      </c>
      <c r="Q603" s="657">
        <v>0</v>
      </c>
      <c r="R603" s="657">
        <v>0</v>
      </c>
      <c r="S603" s="657">
        <v>137201</v>
      </c>
      <c r="T603" s="657">
        <v>137201</v>
      </c>
      <c r="U603" s="657">
        <v>15515</v>
      </c>
      <c r="V603" s="655">
        <v>2021</v>
      </c>
      <c r="W603" s="659"/>
      <c r="X603" s="660">
        <f t="shared" si="29"/>
        <v>8.8431195617144702</v>
      </c>
      <c r="Y603" s="661" t="str">
        <f t="shared" si="27"/>
        <v/>
      </c>
      <c r="Z603" s="661" t="str">
        <f t="shared" si="28"/>
        <v/>
      </c>
    </row>
    <row r="604" spans="1:26" s="128" customFormat="1" ht="25">
      <c r="A604" s="655">
        <v>10694</v>
      </c>
      <c r="B604" s="656" t="s">
        <v>33</v>
      </c>
      <c r="C604" s="655" t="s">
        <v>2793</v>
      </c>
      <c r="D604" s="656" t="s">
        <v>826</v>
      </c>
      <c r="E604" s="656" t="s">
        <v>3104</v>
      </c>
      <c r="F604" s="655">
        <v>57280</v>
      </c>
      <c r="G604" s="656" t="s">
        <v>81</v>
      </c>
      <c r="H604" s="656" t="s">
        <v>1183</v>
      </c>
      <c r="I604" s="656" t="s">
        <v>58</v>
      </c>
      <c r="J604" s="655">
        <v>22</v>
      </c>
      <c r="K604" s="655">
        <v>2</v>
      </c>
      <c r="L604" s="656" t="s">
        <v>52</v>
      </c>
      <c r="M604" s="656" t="s">
        <v>35</v>
      </c>
      <c r="N604" s="656" t="s">
        <v>36</v>
      </c>
      <c r="O604" s="656" t="s">
        <v>37</v>
      </c>
      <c r="P604" s="656" t="s">
        <v>1176</v>
      </c>
      <c r="Q604" s="657">
        <v>0</v>
      </c>
      <c r="R604" s="657">
        <v>0</v>
      </c>
      <c r="S604" s="657">
        <v>60699</v>
      </c>
      <c r="T604" s="657">
        <v>60699</v>
      </c>
      <c r="U604" s="657">
        <v>6864</v>
      </c>
      <c r="V604" s="655">
        <v>2021</v>
      </c>
      <c r="W604" s="659"/>
      <c r="X604" s="660">
        <f t="shared" si="29"/>
        <v>8.843094405594405</v>
      </c>
      <c r="Y604" s="661" t="str">
        <f t="shared" si="27"/>
        <v/>
      </c>
      <c r="Z604" s="661" t="str">
        <f t="shared" si="28"/>
        <v/>
      </c>
    </row>
    <row r="605" spans="1:26" s="128" customFormat="1" ht="25" hidden="1">
      <c r="A605" s="655">
        <v>10700</v>
      </c>
      <c r="B605" s="656" t="s">
        <v>54</v>
      </c>
      <c r="C605" s="655" t="s">
        <v>2793</v>
      </c>
      <c r="D605" s="656" t="s">
        <v>3107</v>
      </c>
      <c r="E605" s="656" t="s">
        <v>2801</v>
      </c>
      <c r="F605" s="655">
        <v>61813</v>
      </c>
      <c r="G605" s="656" t="s">
        <v>90</v>
      </c>
      <c r="H605" s="656" t="s">
        <v>1183</v>
      </c>
      <c r="I605" s="656" t="s">
        <v>58</v>
      </c>
      <c r="J605" s="655">
        <v>322</v>
      </c>
      <c r="K605" s="655">
        <v>7</v>
      </c>
      <c r="L605" s="656" t="s">
        <v>409</v>
      </c>
      <c r="M605" s="656" t="s">
        <v>42</v>
      </c>
      <c r="N605" s="656" t="s">
        <v>154</v>
      </c>
      <c r="O605" s="656" t="s">
        <v>70</v>
      </c>
      <c r="P605" s="656" t="s">
        <v>45</v>
      </c>
      <c r="Q605" s="657">
        <v>221579</v>
      </c>
      <c r="R605" s="657">
        <v>2678</v>
      </c>
      <c r="S605" s="657">
        <v>2658948</v>
      </c>
      <c r="T605" s="657">
        <v>32135</v>
      </c>
      <c r="U605" s="657">
        <v>6873.7780000000002</v>
      </c>
      <c r="V605" s="655">
        <v>2021</v>
      </c>
      <c r="W605" s="659"/>
      <c r="X605" s="660" t="str">
        <f t="shared" si="29"/>
        <v/>
      </c>
      <c r="Y605" s="661" t="str">
        <f t="shared" si="27"/>
        <v/>
      </c>
      <c r="Z605" s="661" t="str">
        <f t="shared" si="28"/>
        <v/>
      </c>
    </row>
    <row r="606" spans="1:26" s="128" customFormat="1" ht="25" hidden="1">
      <c r="A606" s="655">
        <v>10700</v>
      </c>
      <c r="B606" s="656" t="s">
        <v>54</v>
      </c>
      <c r="C606" s="655" t="s">
        <v>2793</v>
      </c>
      <c r="D606" s="656" t="s">
        <v>3107</v>
      </c>
      <c r="E606" s="656" t="s">
        <v>2801</v>
      </c>
      <c r="F606" s="655">
        <v>61813</v>
      </c>
      <c r="G606" s="656" t="s">
        <v>90</v>
      </c>
      <c r="H606" s="656" t="s">
        <v>1183</v>
      </c>
      <c r="I606" s="656" t="s">
        <v>58</v>
      </c>
      <c r="J606" s="655">
        <v>322</v>
      </c>
      <c r="K606" s="655">
        <v>7</v>
      </c>
      <c r="L606" s="656" t="s">
        <v>409</v>
      </c>
      <c r="M606" s="656" t="s">
        <v>42</v>
      </c>
      <c r="N606" s="656" t="s">
        <v>39</v>
      </c>
      <c r="O606" s="656" t="s">
        <v>39</v>
      </c>
      <c r="P606" s="656" t="s">
        <v>1037</v>
      </c>
      <c r="Q606" s="657">
        <v>1335119</v>
      </c>
      <c r="R606" s="657">
        <v>292502</v>
      </c>
      <c r="S606" s="657">
        <v>1335119</v>
      </c>
      <c r="T606" s="657">
        <v>292502</v>
      </c>
      <c r="U606" s="657">
        <v>62566.567999999999</v>
      </c>
      <c r="V606" s="655">
        <v>2021</v>
      </c>
      <c r="W606" s="659"/>
      <c r="X606" s="660" t="str">
        <f t="shared" si="29"/>
        <v/>
      </c>
      <c r="Y606" s="661" t="str">
        <f t="shared" si="27"/>
        <v/>
      </c>
      <c r="Z606" s="661" t="str">
        <f t="shared" si="28"/>
        <v/>
      </c>
    </row>
    <row r="607" spans="1:26" s="128" customFormat="1" ht="25" hidden="1">
      <c r="A607" s="655">
        <v>10700</v>
      </c>
      <c r="B607" s="656" t="s">
        <v>54</v>
      </c>
      <c r="C607" s="655" t="s">
        <v>2793</v>
      </c>
      <c r="D607" s="656" t="s">
        <v>3107</v>
      </c>
      <c r="E607" s="656" t="s">
        <v>2801</v>
      </c>
      <c r="F607" s="655">
        <v>61813</v>
      </c>
      <c r="G607" s="656" t="s">
        <v>90</v>
      </c>
      <c r="H607" s="656" t="s">
        <v>1183</v>
      </c>
      <c r="I607" s="656" t="s">
        <v>58</v>
      </c>
      <c r="J607" s="655">
        <v>322</v>
      </c>
      <c r="K607" s="655">
        <v>7</v>
      </c>
      <c r="L607" s="656" t="s">
        <v>409</v>
      </c>
      <c r="M607" s="656" t="s">
        <v>42</v>
      </c>
      <c r="N607" s="656" t="s">
        <v>61</v>
      </c>
      <c r="O607" s="656" t="s">
        <v>61</v>
      </c>
      <c r="P607" s="656" t="s">
        <v>47</v>
      </c>
      <c r="Q607" s="657">
        <v>0</v>
      </c>
      <c r="R607" s="657">
        <v>0</v>
      </c>
      <c r="S607" s="657">
        <v>0</v>
      </c>
      <c r="T607" s="657">
        <v>0</v>
      </c>
      <c r="U607" s="657">
        <v>0</v>
      </c>
      <c r="V607" s="655">
        <v>2021</v>
      </c>
      <c r="W607" s="659"/>
      <c r="X607" s="660" t="str">
        <f t="shared" si="29"/>
        <v/>
      </c>
      <c r="Y607" s="661" t="str">
        <f t="shared" si="27"/>
        <v/>
      </c>
      <c r="Z607" s="661" t="str">
        <f t="shared" si="28"/>
        <v/>
      </c>
    </row>
    <row r="608" spans="1:26" s="128" customFormat="1" ht="25" hidden="1">
      <c r="A608" s="655">
        <v>10700</v>
      </c>
      <c r="B608" s="656" t="s">
        <v>54</v>
      </c>
      <c r="C608" s="655" t="s">
        <v>2793</v>
      </c>
      <c r="D608" s="656" t="s">
        <v>3107</v>
      </c>
      <c r="E608" s="656" t="s">
        <v>2801</v>
      </c>
      <c r="F608" s="655">
        <v>61813</v>
      </c>
      <c r="G608" s="656" t="s">
        <v>90</v>
      </c>
      <c r="H608" s="656" t="s">
        <v>1183</v>
      </c>
      <c r="I608" s="656" t="s">
        <v>58</v>
      </c>
      <c r="J608" s="655">
        <v>322</v>
      </c>
      <c r="K608" s="655">
        <v>7</v>
      </c>
      <c r="L608" s="656" t="s">
        <v>409</v>
      </c>
      <c r="M608" s="656" t="s">
        <v>42</v>
      </c>
      <c r="N608" s="656" t="s">
        <v>69</v>
      </c>
      <c r="O608" s="656" t="s">
        <v>70</v>
      </c>
      <c r="P608" s="656" t="s">
        <v>45</v>
      </c>
      <c r="Q608" s="657">
        <v>4270</v>
      </c>
      <c r="R608" s="657">
        <v>1875</v>
      </c>
      <c r="S608" s="657">
        <v>45689</v>
      </c>
      <c r="T608" s="657">
        <v>20059</v>
      </c>
      <c r="U608" s="657">
        <v>4290.5309999999999</v>
      </c>
      <c r="V608" s="655">
        <v>2021</v>
      </c>
      <c r="W608" s="659"/>
      <c r="X608" s="660" t="str">
        <f t="shared" si="29"/>
        <v/>
      </c>
      <c r="Y608" s="661" t="str">
        <f t="shared" si="27"/>
        <v/>
      </c>
      <c r="Z608" s="661" t="str">
        <f t="shared" si="28"/>
        <v/>
      </c>
    </row>
    <row r="609" spans="1:26" s="128" customFormat="1">
      <c r="A609" s="655">
        <v>10726</v>
      </c>
      <c r="B609" s="656" t="s">
        <v>54</v>
      </c>
      <c r="C609" s="655" t="s">
        <v>2793</v>
      </c>
      <c r="D609" s="656" t="s">
        <v>406</v>
      </c>
      <c r="E609" s="656" t="s">
        <v>406</v>
      </c>
      <c r="F609" s="655">
        <v>11741</v>
      </c>
      <c r="G609" s="656" t="s">
        <v>81</v>
      </c>
      <c r="H609" s="656" t="s">
        <v>1183</v>
      </c>
      <c r="I609" s="656" t="s">
        <v>58</v>
      </c>
      <c r="J609" s="655">
        <v>22</v>
      </c>
      <c r="K609" s="655">
        <v>3</v>
      </c>
      <c r="L609" s="656" t="s">
        <v>55</v>
      </c>
      <c r="M609" s="656" t="s">
        <v>38</v>
      </c>
      <c r="N609" s="656" t="s">
        <v>46</v>
      </c>
      <c r="O609" s="656" t="s">
        <v>46</v>
      </c>
      <c r="P609" s="656" t="s">
        <v>47</v>
      </c>
      <c r="Q609" s="657">
        <v>0</v>
      </c>
      <c r="R609" s="657">
        <v>0</v>
      </c>
      <c r="S609" s="657">
        <v>0</v>
      </c>
      <c r="T609" s="657">
        <v>0</v>
      </c>
      <c r="U609" s="657">
        <v>0</v>
      </c>
      <c r="V609" s="655">
        <v>2021</v>
      </c>
      <c r="W609" s="659"/>
      <c r="X609" s="660" t="str">
        <f t="shared" si="29"/>
        <v/>
      </c>
      <c r="Y609" s="661" t="str">
        <f t="shared" si="27"/>
        <v/>
      </c>
      <c r="Z609" s="661" t="str">
        <f t="shared" si="28"/>
        <v/>
      </c>
    </row>
    <row r="610" spans="1:26" s="128" customFormat="1">
      <c r="A610" s="655">
        <v>10726</v>
      </c>
      <c r="B610" s="656" t="s">
        <v>54</v>
      </c>
      <c r="C610" s="655" t="s">
        <v>2793</v>
      </c>
      <c r="D610" s="656" t="s">
        <v>406</v>
      </c>
      <c r="E610" s="656" t="s">
        <v>406</v>
      </c>
      <c r="F610" s="655">
        <v>11741</v>
      </c>
      <c r="G610" s="656" t="s">
        <v>81</v>
      </c>
      <c r="H610" s="656" t="s">
        <v>1183</v>
      </c>
      <c r="I610" s="656" t="s">
        <v>58</v>
      </c>
      <c r="J610" s="655">
        <v>22</v>
      </c>
      <c r="K610" s="655">
        <v>3</v>
      </c>
      <c r="L610" s="656" t="s">
        <v>55</v>
      </c>
      <c r="M610" s="656" t="s">
        <v>38</v>
      </c>
      <c r="N610" s="656" t="s">
        <v>39</v>
      </c>
      <c r="O610" s="656" t="s">
        <v>39</v>
      </c>
      <c r="P610" s="656" t="s">
        <v>1037</v>
      </c>
      <c r="Q610" s="657">
        <v>0</v>
      </c>
      <c r="R610" s="657">
        <v>0</v>
      </c>
      <c r="S610" s="657">
        <v>0</v>
      </c>
      <c r="T610" s="657">
        <v>0</v>
      </c>
      <c r="U610" s="657">
        <v>85418</v>
      </c>
      <c r="V610" s="655">
        <v>2021</v>
      </c>
      <c r="W610" s="659"/>
      <c r="X610" s="660" t="str">
        <f t="shared" si="29"/>
        <v/>
      </c>
      <c r="Y610" s="661" t="str">
        <f t="shared" si="27"/>
        <v/>
      </c>
      <c r="Z610" s="661" t="str">
        <f t="shared" si="28"/>
        <v/>
      </c>
    </row>
    <row r="611" spans="1:26" s="128" customFormat="1">
      <c r="A611" s="655">
        <v>10726</v>
      </c>
      <c r="B611" s="656" t="s">
        <v>54</v>
      </c>
      <c r="C611" s="655" t="s">
        <v>2793</v>
      </c>
      <c r="D611" s="656" t="s">
        <v>406</v>
      </c>
      <c r="E611" s="656" t="s">
        <v>406</v>
      </c>
      <c r="F611" s="655">
        <v>11741</v>
      </c>
      <c r="G611" s="656" t="s">
        <v>81</v>
      </c>
      <c r="H611" s="656" t="s">
        <v>1183</v>
      </c>
      <c r="I611" s="656" t="s">
        <v>58</v>
      </c>
      <c r="J611" s="655">
        <v>22</v>
      </c>
      <c r="K611" s="655">
        <v>3</v>
      </c>
      <c r="L611" s="656" t="s">
        <v>55</v>
      </c>
      <c r="M611" s="656" t="s">
        <v>41</v>
      </c>
      <c r="N611" s="656" t="s">
        <v>46</v>
      </c>
      <c r="O611" s="656" t="s">
        <v>46</v>
      </c>
      <c r="P611" s="656" t="s">
        <v>47</v>
      </c>
      <c r="Q611" s="657">
        <v>0</v>
      </c>
      <c r="R611" s="657">
        <v>0</v>
      </c>
      <c r="S611" s="657">
        <v>0</v>
      </c>
      <c r="T611" s="657">
        <v>0</v>
      </c>
      <c r="U611" s="657">
        <v>0</v>
      </c>
      <c r="V611" s="655">
        <v>2021</v>
      </c>
      <c r="W611" s="659"/>
      <c r="X611" s="660" t="str">
        <f t="shared" si="29"/>
        <v/>
      </c>
      <c r="Y611" s="661" t="str">
        <f t="shared" si="27"/>
        <v/>
      </c>
      <c r="Z611" s="661" t="str">
        <f t="shared" si="28"/>
        <v/>
      </c>
    </row>
    <row r="612" spans="1:26" s="128" customFormat="1">
      <c r="A612" s="655">
        <v>10726</v>
      </c>
      <c r="B612" s="656" t="s">
        <v>54</v>
      </c>
      <c r="C612" s="655" t="s">
        <v>2793</v>
      </c>
      <c r="D612" s="656" t="s">
        <v>406</v>
      </c>
      <c r="E612" s="656" t="s">
        <v>406</v>
      </c>
      <c r="F612" s="655">
        <v>11741</v>
      </c>
      <c r="G612" s="656" t="s">
        <v>81</v>
      </c>
      <c r="H612" s="656" t="s">
        <v>1183</v>
      </c>
      <c r="I612" s="656" t="s">
        <v>58</v>
      </c>
      <c r="J612" s="655">
        <v>22</v>
      </c>
      <c r="K612" s="655">
        <v>3</v>
      </c>
      <c r="L612" s="656" t="s">
        <v>55</v>
      </c>
      <c r="M612" s="656" t="s">
        <v>41</v>
      </c>
      <c r="N612" s="656" t="s">
        <v>39</v>
      </c>
      <c r="O612" s="656" t="s">
        <v>39</v>
      </c>
      <c r="P612" s="656" t="s">
        <v>1037</v>
      </c>
      <c r="Q612" s="657">
        <v>2308196</v>
      </c>
      <c r="R612" s="657">
        <v>2131527</v>
      </c>
      <c r="S612" s="657">
        <v>2377443</v>
      </c>
      <c r="T612" s="657">
        <v>2195472</v>
      </c>
      <c r="U612" s="657">
        <v>170836</v>
      </c>
      <c r="V612" s="655">
        <v>2021</v>
      </c>
      <c r="W612" s="659"/>
      <c r="X612" s="660">
        <f t="shared" si="29"/>
        <v>12.851342808307383</v>
      </c>
      <c r="Y612" s="661" t="str">
        <f t="shared" si="27"/>
        <v/>
      </c>
      <c r="Z612" s="661" t="str">
        <f t="shared" si="28"/>
        <v/>
      </c>
    </row>
    <row r="613" spans="1:26" s="128" customFormat="1" ht="25" hidden="1">
      <c r="A613" s="655">
        <v>10728</v>
      </c>
      <c r="B613" s="656" t="s">
        <v>33</v>
      </c>
      <c r="C613" s="655" t="s">
        <v>2793</v>
      </c>
      <c r="D613" s="656" t="s">
        <v>827</v>
      </c>
      <c r="E613" s="656" t="s">
        <v>1053</v>
      </c>
      <c r="F613" s="655">
        <v>56838</v>
      </c>
      <c r="G613" s="656" t="s">
        <v>90</v>
      </c>
      <c r="H613" s="656" t="s">
        <v>1183</v>
      </c>
      <c r="I613" s="656" t="s">
        <v>58</v>
      </c>
      <c r="J613" s="655">
        <v>22</v>
      </c>
      <c r="K613" s="655">
        <v>2</v>
      </c>
      <c r="L613" s="656" t="s">
        <v>52</v>
      </c>
      <c r="M613" s="656" t="s">
        <v>35</v>
      </c>
      <c r="N613" s="656" t="s">
        <v>36</v>
      </c>
      <c r="O613" s="656" t="s">
        <v>37</v>
      </c>
      <c r="P613" s="656" t="s">
        <v>1176</v>
      </c>
      <c r="Q613" s="657">
        <v>0</v>
      </c>
      <c r="R613" s="657">
        <v>0</v>
      </c>
      <c r="S613" s="657">
        <v>39677</v>
      </c>
      <c r="T613" s="657">
        <v>39677</v>
      </c>
      <c r="U613" s="657">
        <v>4487</v>
      </c>
      <c r="V613" s="655">
        <v>2021</v>
      </c>
      <c r="W613" s="659"/>
      <c r="X613" s="660">
        <f t="shared" si="29"/>
        <v>8.8426565634053933</v>
      </c>
      <c r="Y613" s="661" t="str">
        <f t="shared" si="27"/>
        <v/>
      </c>
      <c r="Z613" s="661" t="str">
        <f t="shared" si="28"/>
        <v/>
      </c>
    </row>
    <row r="614" spans="1:26" s="128" customFormat="1" ht="25" hidden="1">
      <c r="A614" s="655">
        <v>10752</v>
      </c>
      <c r="B614" s="656" t="s">
        <v>33</v>
      </c>
      <c r="C614" s="655" t="s">
        <v>2793</v>
      </c>
      <c r="D614" s="656" t="s">
        <v>828</v>
      </c>
      <c r="E614" s="656" t="s">
        <v>3106</v>
      </c>
      <c r="F614" s="655">
        <v>64078</v>
      </c>
      <c r="G614" s="656" t="s">
        <v>57</v>
      </c>
      <c r="H614" s="656" t="s">
        <v>1182</v>
      </c>
      <c r="I614" s="656" t="s">
        <v>58</v>
      </c>
      <c r="J614" s="655">
        <v>22</v>
      </c>
      <c r="K614" s="655">
        <v>2</v>
      </c>
      <c r="L614" s="656" t="s">
        <v>52</v>
      </c>
      <c r="M614" s="656" t="s">
        <v>35</v>
      </c>
      <c r="N614" s="656" t="s">
        <v>36</v>
      </c>
      <c r="O614" s="656" t="s">
        <v>37</v>
      </c>
      <c r="P614" s="656" t="s">
        <v>1176</v>
      </c>
      <c r="Q614" s="657">
        <v>0</v>
      </c>
      <c r="R614" s="657">
        <v>0</v>
      </c>
      <c r="S614" s="657">
        <v>156903</v>
      </c>
      <c r="T614" s="657">
        <v>156903</v>
      </c>
      <c r="U614" s="657">
        <v>17743</v>
      </c>
      <c r="V614" s="655">
        <v>2021</v>
      </c>
      <c r="W614" s="659"/>
      <c r="X614" s="660">
        <f t="shared" si="29"/>
        <v>8.84309305078059</v>
      </c>
      <c r="Y614" s="661" t="str">
        <f t="shared" si="27"/>
        <v/>
      </c>
      <c r="Z614" s="661" t="str">
        <f t="shared" si="28"/>
        <v/>
      </c>
    </row>
    <row r="615" spans="1:26" s="128" customFormat="1" ht="25" hidden="1">
      <c r="A615" s="655">
        <v>10753</v>
      </c>
      <c r="B615" s="656" t="s">
        <v>33</v>
      </c>
      <c r="C615" s="655" t="s">
        <v>2793</v>
      </c>
      <c r="D615" s="656" t="s">
        <v>829</v>
      </c>
      <c r="E615" s="656" t="s">
        <v>3106</v>
      </c>
      <c r="F615" s="655">
        <v>64078</v>
      </c>
      <c r="G615" s="656" t="s">
        <v>57</v>
      </c>
      <c r="H615" s="656" t="s">
        <v>1182</v>
      </c>
      <c r="I615" s="656" t="s">
        <v>58</v>
      </c>
      <c r="J615" s="655">
        <v>22</v>
      </c>
      <c r="K615" s="655">
        <v>2</v>
      </c>
      <c r="L615" s="656" t="s">
        <v>52</v>
      </c>
      <c r="M615" s="656" t="s">
        <v>35</v>
      </c>
      <c r="N615" s="656" t="s">
        <v>36</v>
      </c>
      <c r="O615" s="656" t="s">
        <v>37</v>
      </c>
      <c r="P615" s="656" t="s">
        <v>1176</v>
      </c>
      <c r="Q615" s="657">
        <v>0</v>
      </c>
      <c r="R615" s="657">
        <v>0</v>
      </c>
      <c r="S615" s="657">
        <v>156892</v>
      </c>
      <c r="T615" s="657">
        <v>156892</v>
      </c>
      <c r="U615" s="657">
        <v>17742</v>
      </c>
      <c r="V615" s="655">
        <v>2021</v>
      </c>
      <c r="W615" s="659"/>
      <c r="X615" s="660">
        <f t="shared" si="29"/>
        <v>8.8429714801037083</v>
      </c>
      <c r="Y615" s="661" t="str">
        <f t="shared" si="27"/>
        <v/>
      </c>
      <c r="Z615" s="661" t="str">
        <f t="shared" si="28"/>
        <v/>
      </c>
    </row>
    <row r="616" spans="1:26" s="128" customFormat="1" ht="25" hidden="1">
      <c r="A616" s="655">
        <v>10765</v>
      </c>
      <c r="B616" s="656" t="s">
        <v>33</v>
      </c>
      <c r="C616" s="655" t="s">
        <v>2793</v>
      </c>
      <c r="D616" s="656" t="s">
        <v>407</v>
      </c>
      <c r="E616" s="656" t="s">
        <v>2317</v>
      </c>
      <c r="F616" s="655">
        <v>62815</v>
      </c>
      <c r="G616" s="656" t="s">
        <v>90</v>
      </c>
      <c r="H616" s="656" t="s">
        <v>1183</v>
      </c>
      <c r="I616" s="656" t="s">
        <v>58</v>
      </c>
      <c r="J616" s="655">
        <v>22</v>
      </c>
      <c r="K616" s="655">
        <v>2</v>
      </c>
      <c r="L616" s="656" t="s">
        <v>52</v>
      </c>
      <c r="M616" s="656" t="s">
        <v>42</v>
      </c>
      <c r="N616" s="656" t="s">
        <v>426</v>
      </c>
      <c r="O616" s="656" t="s">
        <v>67</v>
      </c>
      <c r="P616" s="656" t="s">
        <v>1037</v>
      </c>
      <c r="Q616" s="657">
        <v>322</v>
      </c>
      <c r="R616" s="657">
        <v>322</v>
      </c>
      <c r="S616" s="657">
        <v>807</v>
      </c>
      <c r="T616" s="657">
        <v>807</v>
      </c>
      <c r="U616" s="657">
        <v>36.542000000000002</v>
      </c>
      <c r="V616" s="655">
        <v>2021</v>
      </c>
      <c r="W616" s="659"/>
      <c r="X616" s="660">
        <f t="shared" si="29"/>
        <v>22.084177111269224</v>
      </c>
      <c r="Y616" s="661" t="str">
        <f t="shared" si="27"/>
        <v/>
      </c>
      <c r="Z616" s="661" t="str">
        <f t="shared" si="28"/>
        <v/>
      </c>
    </row>
    <row r="617" spans="1:26" s="128" customFormat="1" ht="25" hidden="1">
      <c r="A617" s="655">
        <v>10765</v>
      </c>
      <c r="B617" s="656" t="s">
        <v>33</v>
      </c>
      <c r="C617" s="655" t="s">
        <v>2793</v>
      </c>
      <c r="D617" s="656" t="s">
        <v>407</v>
      </c>
      <c r="E617" s="656" t="s">
        <v>2317</v>
      </c>
      <c r="F617" s="655">
        <v>62815</v>
      </c>
      <c r="G617" s="656" t="s">
        <v>90</v>
      </c>
      <c r="H617" s="656" t="s">
        <v>1183</v>
      </c>
      <c r="I617" s="656" t="s">
        <v>58</v>
      </c>
      <c r="J617" s="655">
        <v>22</v>
      </c>
      <c r="K617" s="655">
        <v>2</v>
      </c>
      <c r="L617" s="656" t="s">
        <v>52</v>
      </c>
      <c r="M617" s="656" t="s">
        <v>42</v>
      </c>
      <c r="N617" s="656" t="s">
        <v>69</v>
      </c>
      <c r="O617" s="656" t="s">
        <v>70</v>
      </c>
      <c r="P617" s="656" t="s">
        <v>45</v>
      </c>
      <c r="Q617" s="657">
        <v>57851</v>
      </c>
      <c r="R617" s="657">
        <v>57851</v>
      </c>
      <c r="S617" s="657">
        <v>589209</v>
      </c>
      <c r="T617" s="657">
        <v>589209</v>
      </c>
      <c r="U617" s="657">
        <v>28032.457999999999</v>
      </c>
      <c r="V617" s="655">
        <v>2021</v>
      </c>
      <c r="W617" s="659"/>
      <c r="X617" s="660">
        <f t="shared" si="29"/>
        <v>21.018813262825542</v>
      </c>
      <c r="Y617" s="661" t="str">
        <f t="shared" si="27"/>
        <v/>
      </c>
      <c r="Z617" s="661" t="str">
        <f t="shared" si="28"/>
        <v/>
      </c>
    </row>
    <row r="618" spans="1:26" s="128" customFormat="1" ht="25" hidden="1">
      <c r="A618" s="655">
        <v>10766</v>
      </c>
      <c r="B618" s="656" t="s">
        <v>33</v>
      </c>
      <c r="C618" s="655" t="s">
        <v>2793</v>
      </c>
      <c r="D618" s="656" t="s">
        <v>408</v>
      </c>
      <c r="E618" s="656" t="s">
        <v>2317</v>
      </c>
      <c r="F618" s="655">
        <v>62815</v>
      </c>
      <c r="G618" s="656" t="s">
        <v>90</v>
      </c>
      <c r="H618" s="656" t="s">
        <v>1183</v>
      </c>
      <c r="I618" s="656" t="s">
        <v>58</v>
      </c>
      <c r="J618" s="655">
        <v>22</v>
      </c>
      <c r="K618" s="655">
        <v>2</v>
      </c>
      <c r="L618" s="656" t="s">
        <v>52</v>
      </c>
      <c r="M618" s="656" t="s">
        <v>42</v>
      </c>
      <c r="N618" s="656" t="s">
        <v>426</v>
      </c>
      <c r="O618" s="656" t="s">
        <v>67</v>
      </c>
      <c r="P618" s="656" t="s">
        <v>1037</v>
      </c>
      <c r="Q618" s="657">
        <v>404</v>
      </c>
      <c r="R618" s="657">
        <v>404</v>
      </c>
      <c r="S618" s="657">
        <v>1012</v>
      </c>
      <c r="T618" s="657">
        <v>1012</v>
      </c>
      <c r="U618" s="657">
        <v>59.484999999999999</v>
      </c>
      <c r="V618" s="655">
        <v>2021</v>
      </c>
      <c r="W618" s="659"/>
      <c r="X618" s="660">
        <f t="shared" si="29"/>
        <v>17.012692275363538</v>
      </c>
      <c r="Y618" s="661" t="str">
        <f t="shared" si="27"/>
        <v/>
      </c>
      <c r="Z618" s="661" t="str">
        <f t="shared" si="28"/>
        <v/>
      </c>
    </row>
    <row r="619" spans="1:26" s="128" customFormat="1" ht="25" hidden="1">
      <c r="A619" s="655">
        <v>10766</v>
      </c>
      <c r="B619" s="656" t="s">
        <v>33</v>
      </c>
      <c r="C619" s="655" t="s">
        <v>2793</v>
      </c>
      <c r="D619" s="656" t="s">
        <v>408</v>
      </c>
      <c r="E619" s="656" t="s">
        <v>2317</v>
      </c>
      <c r="F619" s="655">
        <v>62815</v>
      </c>
      <c r="G619" s="656" t="s">
        <v>90</v>
      </c>
      <c r="H619" s="656" t="s">
        <v>1183</v>
      </c>
      <c r="I619" s="656" t="s">
        <v>58</v>
      </c>
      <c r="J619" s="655">
        <v>22</v>
      </c>
      <c r="K619" s="655">
        <v>2</v>
      </c>
      <c r="L619" s="656" t="s">
        <v>52</v>
      </c>
      <c r="M619" s="656" t="s">
        <v>42</v>
      </c>
      <c r="N619" s="656" t="s">
        <v>69</v>
      </c>
      <c r="O619" s="656" t="s">
        <v>70</v>
      </c>
      <c r="P619" s="656" t="s">
        <v>45</v>
      </c>
      <c r="Q619" s="657">
        <v>73557</v>
      </c>
      <c r="R619" s="657">
        <v>73557</v>
      </c>
      <c r="S619" s="657">
        <v>671021</v>
      </c>
      <c r="T619" s="657">
        <v>671021</v>
      </c>
      <c r="U619" s="657">
        <v>39801.514999999999</v>
      </c>
      <c r="V619" s="655">
        <v>2021</v>
      </c>
      <c r="W619" s="659"/>
      <c r="X619" s="660">
        <f t="shared" si="29"/>
        <v>16.859182370319321</v>
      </c>
      <c r="Y619" s="661" t="str">
        <f t="shared" si="27"/>
        <v/>
      </c>
      <c r="Z619" s="661" t="str">
        <f t="shared" si="28"/>
        <v/>
      </c>
    </row>
    <row r="620" spans="1:26" s="128" customFormat="1" ht="25" hidden="1">
      <c r="A620" s="655">
        <v>10817</v>
      </c>
      <c r="B620" s="656" t="s">
        <v>33</v>
      </c>
      <c r="C620" s="655" t="s">
        <v>2793</v>
      </c>
      <c r="D620" s="656" t="s">
        <v>830</v>
      </c>
      <c r="E620" s="656" t="s">
        <v>831</v>
      </c>
      <c r="F620" s="655">
        <v>5811</v>
      </c>
      <c r="G620" s="656" t="s">
        <v>57</v>
      </c>
      <c r="H620" s="656" t="s">
        <v>1182</v>
      </c>
      <c r="I620" s="656" t="s">
        <v>58</v>
      </c>
      <c r="J620" s="655">
        <v>22</v>
      </c>
      <c r="K620" s="655">
        <v>2</v>
      </c>
      <c r="L620" s="656" t="s">
        <v>52</v>
      </c>
      <c r="M620" s="656" t="s">
        <v>35</v>
      </c>
      <c r="N620" s="656" t="s">
        <v>36</v>
      </c>
      <c r="O620" s="656" t="s">
        <v>37</v>
      </c>
      <c r="P620" s="656" t="s">
        <v>1176</v>
      </c>
      <c r="Q620" s="657">
        <v>0</v>
      </c>
      <c r="R620" s="657">
        <v>0</v>
      </c>
      <c r="S620" s="657">
        <v>44137</v>
      </c>
      <c r="T620" s="657">
        <v>44137</v>
      </c>
      <c r="U620" s="657">
        <v>4991</v>
      </c>
      <c r="V620" s="655">
        <v>2021</v>
      </c>
      <c r="W620" s="659"/>
      <c r="X620" s="660">
        <f t="shared" si="29"/>
        <v>8.8433179723502295</v>
      </c>
      <c r="Y620" s="661" t="str">
        <f t="shared" si="27"/>
        <v/>
      </c>
      <c r="Z620" s="661" t="str">
        <f t="shared" si="28"/>
        <v/>
      </c>
    </row>
    <row r="621" spans="1:26" s="128" customFormat="1" ht="25" hidden="1">
      <c r="A621" s="655">
        <v>10823</v>
      </c>
      <c r="B621" s="656" t="s">
        <v>54</v>
      </c>
      <c r="C621" s="655" t="s">
        <v>2793</v>
      </c>
      <c r="D621" s="656" t="s">
        <v>1832</v>
      </c>
      <c r="E621" s="656" t="s">
        <v>2129</v>
      </c>
      <c r="F621" s="655">
        <v>11427</v>
      </c>
      <c r="G621" s="656" t="s">
        <v>81</v>
      </c>
      <c r="H621" s="656" t="s">
        <v>1183</v>
      </c>
      <c r="I621" s="656" t="s">
        <v>58</v>
      </c>
      <c r="J621" s="655">
        <v>22132</v>
      </c>
      <c r="K621" s="655">
        <v>5</v>
      </c>
      <c r="L621" s="656" t="s">
        <v>413</v>
      </c>
      <c r="M621" s="656" t="s">
        <v>50</v>
      </c>
      <c r="N621" s="656" t="s">
        <v>46</v>
      </c>
      <c r="O621" s="656" t="s">
        <v>46</v>
      </c>
      <c r="P621" s="656" t="s">
        <v>47</v>
      </c>
      <c r="Q621" s="657">
        <v>4141</v>
      </c>
      <c r="R621" s="657">
        <v>1380</v>
      </c>
      <c r="S621" s="657">
        <v>23478</v>
      </c>
      <c r="T621" s="657">
        <v>7819</v>
      </c>
      <c r="U621" s="657">
        <v>1909.04</v>
      </c>
      <c r="V621" s="655">
        <v>2021</v>
      </c>
      <c r="W621" s="659"/>
      <c r="X621" s="660" t="str">
        <f t="shared" si="29"/>
        <v/>
      </c>
      <c r="Y621" s="661" t="str">
        <f t="shared" si="27"/>
        <v/>
      </c>
      <c r="Z621" s="661">
        <f t="shared" si="28"/>
        <v>4.7301261366969785</v>
      </c>
    </row>
    <row r="622" spans="1:26" s="128" customFormat="1" ht="25" hidden="1">
      <c r="A622" s="655">
        <v>10823</v>
      </c>
      <c r="B622" s="656" t="s">
        <v>54</v>
      </c>
      <c r="C622" s="655" t="s">
        <v>2793</v>
      </c>
      <c r="D622" s="656" t="s">
        <v>1832</v>
      </c>
      <c r="E622" s="656" t="s">
        <v>2129</v>
      </c>
      <c r="F622" s="655">
        <v>11427</v>
      </c>
      <c r="G622" s="656" t="s">
        <v>81</v>
      </c>
      <c r="H622" s="656" t="s">
        <v>1183</v>
      </c>
      <c r="I622" s="656" t="s">
        <v>58</v>
      </c>
      <c r="J622" s="655">
        <v>22132</v>
      </c>
      <c r="K622" s="655">
        <v>5</v>
      </c>
      <c r="L622" s="656" t="s">
        <v>413</v>
      </c>
      <c r="M622" s="656" t="s">
        <v>35</v>
      </c>
      <c r="N622" s="656" t="s">
        <v>36</v>
      </c>
      <c r="O622" s="656" t="s">
        <v>37</v>
      </c>
      <c r="P622" s="656" t="s">
        <v>1176</v>
      </c>
      <c r="Q622" s="657">
        <v>0</v>
      </c>
      <c r="R622" s="657">
        <v>0</v>
      </c>
      <c r="S622" s="657">
        <v>50862</v>
      </c>
      <c r="T622" s="657">
        <v>50862</v>
      </c>
      <c r="U622" s="657">
        <v>5751.9</v>
      </c>
      <c r="V622" s="655">
        <v>2021</v>
      </c>
      <c r="W622" s="659"/>
      <c r="X622" s="660" t="str">
        <f t="shared" si="29"/>
        <v/>
      </c>
      <c r="Y622" s="661" t="str">
        <f t="shared" si="27"/>
        <v/>
      </c>
      <c r="Z622" s="661" t="str">
        <f t="shared" si="28"/>
        <v/>
      </c>
    </row>
    <row r="623" spans="1:26" s="128" customFormat="1" ht="25" hidden="1">
      <c r="A623" s="655">
        <v>10823</v>
      </c>
      <c r="B623" s="656" t="s">
        <v>54</v>
      </c>
      <c r="C623" s="655" t="s">
        <v>2793</v>
      </c>
      <c r="D623" s="656" t="s">
        <v>1832</v>
      </c>
      <c r="E623" s="656" t="s">
        <v>2129</v>
      </c>
      <c r="F623" s="655">
        <v>11427</v>
      </c>
      <c r="G623" s="656" t="s">
        <v>81</v>
      </c>
      <c r="H623" s="656" t="s">
        <v>1183</v>
      </c>
      <c r="I623" s="656" t="s">
        <v>58</v>
      </c>
      <c r="J623" s="655">
        <v>22132</v>
      </c>
      <c r="K623" s="655">
        <v>5</v>
      </c>
      <c r="L623" s="656" t="s">
        <v>413</v>
      </c>
      <c r="M623" s="656" t="s">
        <v>448</v>
      </c>
      <c r="N623" s="656" t="s">
        <v>449</v>
      </c>
      <c r="O623" s="656" t="s">
        <v>449</v>
      </c>
      <c r="P623" s="656" t="s">
        <v>1176</v>
      </c>
      <c r="Q623" s="657">
        <v>0</v>
      </c>
      <c r="R623" s="657">
        <v>0</v>
      </c>
      <c r="S623" s="657">
        <v>6723</v>
      </c>
      <c r="T623" s="657">
        <v>6723</v>
      </c>
      <c r="U623" s="657">
        <v>760.32</v>
      </c>
      <c r="V623" s="655">
        <v>2021</v>
      </c>
      <c r="W623" s="659"/>
      <c r="X623" s="660" t="str">
        <f t="shared" si="29"/>
        <v/>
      </c>
      <c r="Y623" s="661" t="str">
        <f t="shared" si="27"/>
        <v/>
      </c>
      <c r="Z623" s="661" t="str">
        <f t="shared" si="28"/>
        <v/>
      </c>
    </row>
    <row r="624" spans="1:26" s="128" customFormat="1" ht="25" hidden="1">
      <c r="A624" s="655">
        <v>10823</v>
      </c>
      <c r="B624" s="656" t="s">
        <v>54</v>
      </c>
      <c r="C624" s="655" t="s">
        <v>2793</v>
      </c>
      <c r="D624" s="656" t="s">
        <v>1832</v>
      </c>
      <c r="E624" s="656" t="s">
        <v>2129</v>
      </c>
      <c r="F624" s="655">
        <v>11427</v>
      </c>
      <c r="G624" s="656" t="s">
        <v>81</v>
      </c>
      <c r="H624" s="656" t="s">
        <v>1183</v>
      </c>
      <c r="I624" s="656" t="s">
        <v>58</v>
      </c>
      <c r="J624" s="655">
        <v>22132</v>
      </c>
      <c r="K624" s="655">
        <v>5</v>
      </c>
      <c r="L624" s="656" t="s">
        <v>413</v>
      </c>
      <c r="M624" s="656" t="s">
        <v>42</v>
      </c>
      <c r="N624" s="656" t="s">
        <v>46</v>
      </c>
      <c r="O624" s="656" t="s">
        <v>46</v>
      </c>
      <c r="P624" s="656" t="s">
        <v>47</v>
      </c>
      <c r="Q624" s="657">
        <v>10817</v>
      </c>
      <c r="R624" s="657">
        <v>1291</v>
      </c>
      <c r="S624" s="657">
        <v>61332</v>
      </c>
      <c r="T624" s="657">
        <v>7320</v>
      </c>
      <c r="U624" s="657">
        <v>1769.0450000000001</v>
      </c>
      <c r="V624" s="655">
        <v>2021</v>
      </c>
      <c r="W624" s="659"/>
      <c r="X624" s="660" t="str">
        <f t="shared" si="29"/>
        <v/>
      </c>
      <c r="Y624" s="661" t="str">
        <f t="shared" si="27"/>
        <v/>
      </c>
      <c r="Z624" s="661" t="str">
        <f t="shared" si="28"/>
        <v/>
      </c>
    </row>
    <row r="625" spans="1:26" s="128" customFormat="1" ht="25" hidden="1">
      <c r="A625" s="655">
        <v>10823</v>
      </c>
      <c r="B625" s="656" t="s">
        <v>54</v>
      </c>
      <c r="C625" s="655" t="s">
        <v>2793</v>
      </c>
      <c r="D625" s="656" t="s">
        <v>1832</v>
      </c>
      <c r="E625" s="656" t="s">
        <v>2129</v>
      </c>
      <c r="F625" s="655">
        <v>11427</v>
      </c>
      <c r="G625" s="656" t="s">
        <v>81</v>
      </c>
      <c r="H625" s="656" t="s">
        <v>1183</v>
      </c>
      <c r="I625" s="656" t="s">
        <v>58</v>
      </c>
      <c r="J625" s="655">
        <v>22132</v>
      </c>
      <c r="K625" s="655">
        <v>5</v>
      </c>
      <c r="L625" s="656" t="s">
        <v>413</v>
      </c>
      <c r="M625" s="656" t="s">
        <v>42</v>
      </c>
      <c r="N625" s="656" t="s">
        <v>68</v>
      </c>
      <c r="O625" s="656" t="s">
        <v>49</v>
      </c>
      <c r="P625" s="656" t="s">
        <v>40</v>
      </c>
      <c r="Q625" s="657">
        <v>1539323</v>
      </c>
      <c r="R625" s="657">
        <v>174824</v>
      </c>
      <c r="S625" s="657">
        <v>935909</v>
      </c>
      <c r="T625" s="657">
        <v>106293</v>
      </c>
      <c r="U625" s="657">
        <v>25685.834999999999</v>
      </c>
      <c r="V625" s="655">
        <v>2021</v>
      </c>
      <c r="W625" s="659"/>
      <c r="X625" s="660" t="str">
        <f t="shared" si="29"/>
        <v/>
      </c>
      <c r="Y625" s="661" t="str">
        <f t="shared" si="27"/>
        <v/>
      </c>
      <c r="Z625" s="661" t="str">
        <f t="shared" si="28"/>
        <v/>
      </c>
    </row>
    <row r="626" spans="1:26" s="128" customFormat="1" ht="25" hidden="1">
      <c r="A626" s="655">
        <v>10823</v>
      </c>
      <c r="B626" s="656" t="s">
        <v>54</v>
      </c>
      <c r="C626" s="655" t="s">
        <v>2793</v>
      </c>
      <c r="D626" s="656" t="s">
        <v>1832</v>
      </c>
      <c r="E626" s="656" t="s">
        <v>2129</v>
      </c>
      <c r="F626" s="655">
        <v>11427</v>
      </c>
      <c r="G626" s="656" t="s">
        <v>81</v>
      </c>
      <c r="H626" s="656" t="s">
        <v>1183</v>
      </c>
      <c r="I626" s="656" t="s">
        <v>58</v>
      </c>
      <c r="J626" s="655">
        <v>22132</v>
      </c>
      <c r="K626" s="655">
        <v>5</v>
      </c>
      <c r="L626" s="656" t="s">
        <v>413</v>
      </c>
      <c r="M626" s="656" t="s">
        <v>71</v>
      </c>
      <c r="N626" s="656" t="s">
        <v>72</v>
      </c>
      <c r="O626" s="656" t="s">
        <v>72</v>
      </c>
      <c r="P626" s="656" t="s">
        <v>1176</v>
      </c>
      <c r="Q626" s="657">
        <v>0</v>
      </c>
      <c r="R626" s="657">
        <v>0</v>
      </c>
      <c r="S626" s="657">
        <v>12993</v>
      </c>
      <c r="T626" s="657">
        <v>12993</v>
      </c>
      <c r="U626" s="657">
        <v>1469.16</v>
      </c>
      <c r="V626" s="655">
        <v>2021</v>
      </c>
      <c r="W626" s="659"/>
      <c r="X626" s="660" t="str">
        <f t="shared" si="29"/>
        <v/>
      </c>
      <c r="Y626" s="661" t="str">
        <f t="shared" si="27"/>
        <v/>
      </c>
      <c r="Z626" s="661" t="str">
        <f t="shared" si="28"/>
        <v/>
      </c>
    </row>
    <row r="627" spans="1:26" s="128" customFormat="1" ht="25">
      <c r="A627" s="655">
        <v>10824</v>
      </c>
      <c r="B627" s="656" t="s">
        <v>33</v>
      </c>
      <c r="C627" s="655" t="s">
        <v>2793</v>
      </c>
      <c r="D627" s="656" t="s">
        <v>832</v>
      </c>
      <c r="E627" s="656" t="s">
        <v>833</v>
      </c>
      <c r="F627" s="655">
        <v>11426</v>
      </c>
      <c r="G627" s="656" t="s">
        <v>81</v>
      </c>
      <c r="H627" s="656" t="s">
        <v>1183</v>
      </c>
      <c r="I627" s="656" t="s">
        <v>58</v>
      </c>
      <c r="J627" s="655">
        <v>22</v>
      </c>
      <c r="K627" s="655">
        <v>2</v>
      </c>
      <c r="L627" s="656" t="s">
        <v>52</v>
      </c>
      <c r="M627" s="656" t="s">
        <v>35</v>
      </c>
      <c r="N627" s="656" t="s">
        <v>36</v>
      </c>
      <c r="O627" s="656" t="s">
        <v>37</v>
      </c>
      <c r="P627" s="656" t="s">
        <v>1176</v>
      </c>
      <c r="Q627" s="657">
        <v>0</v>
      </c>
      <c r="R627" s="657">
        <v>0</v>
      </c>
      <c r="S627" s="657">
        <v>103667</v>
      </c>
      <c r="T627" s="657">
        <v>103667</v>
      </c>
      <c r="U627" s="657">
        <v>11723</v>
      </c>
      <c r="V627" s="655">
        <v>2021</v>
      </c>
      <c r="W627" s="659"/>
      <c r="X627" s="660">
        <f t="shared" si="29"/>
        <v>8.843043589524866</v>
      </c>
      <c r="Y627" s="661" t="str">
        <f t="shared" si="27"/>
        <v/>
      </c>
      <c r="Z627" s="661" t="str">
        <f t="shared" si="28"/>
        <v/>
      </c>
    </row>
    <row r="628" spans="1:26" s="128" customFormat="1" ht="25">
      <c r="A628" s="655">
        <v>10825</v>
      </c>
      <c r="B628" s="656" t="s">
        <v>33</v>
      </c>
      <c r="C628" s="655" t="s">
        <v>2793</v>
      </c>
      <c r="D628" s="656" t="s">
        <v>834</v>
      </c>
      <c r="E628" s="656" t="s">
        <v>833</v>
      </c>
      <c r="F628" s="655">
        <v>11426</v>
      </c>
      <c r="G628" s="656" t="s">
        <v>81</v>
      </c>
      <c r="H628" s="656" t="s">
        <v>1183</v>
      </c>
      <c r="I628" s="656" t="s">
        <v>58</v>
      </c>
      <c r="J628" s="655">
        <v>22</v>
      </c>
      <c r="K628" s="655">
        <v>2</v>
      </c>
      <c r="L628" s="656" t="s">
        <v>52</v>
      </c>
      <c r="M628" s="656" t="s">
        <v>35</v>
      </c>
      <c r="N628" s="656" t="s">
        <v>36</v>
      </c>
      <c r="O628" s="656" t="s">
        <v>37</v>
      </c>
      <c r="P628" s="656" t="s">
        <v>1176</v>
      </c>
      <c r="Q628" s="657">
        <v>0</v>
      </c>
      <c r="R628" s="657">
        <v>0</v>
      </c>
      <c r="S628" s="657">
        <v>40731</v>
      </c>
      <c r="T628" s="657">
        <v>40731</v>
      </c>
      <c r="U628" s="657">
        <v>4606</v>
      </c>
      <c r="V628" s="655">
        <v>2021</v>
      </c>
      <c r="W628" s="659"/>
      <c r="X628" s="660">
        <f t="shared" si="29"/>
        <v>8.8430308293530171</v>
      </c>
      <c r="Y628" s="661" t="str">
        <f t="shared" si="27"/>
        <v/>
      </c>
      <c r="Z628" s="661" t="str">
        <f t="shared" si="28"/>
        <v/>
      </c>
    </row>
    <row r="629" spans="1:26" s="128" customFormat="1" ht="25" hidden="1">
      <c r="A629" s="655">
        <v>10838</v>
      </c>
      <c r="B629" s="656" t="s">
        <v>33</v>
      </c>
      <c r="C629" s="655" t="s">
        <v>2793</v>
      </c>
      <c r="D629" s="656" t="s">
        <v>3108</v>
      </c>
      <c r="E629" s="656" t="s">
        <v>3109</v>
      </c>
      <c r="F629" s="655">
        <v>64003</v>
      </c>
      <c r="G629" s="656" t="s">
        <v>96</v>
      </c>
      <c r="H629" s="656" t="s">
        <v>1183</v>
      </c>
      <c r="I629" s="656" t="s">
        <v>58</v>
      </c>
      <c r="J629" s="655">
        <v>22</v>
      </c>
      <c r="K629" s="655">
        <v>2</v>
      </c>
      <c r="L629" s="656" t="s">
        <v>52</v>
      </c>
      <c r="M629" s="656" t="s">
        <v>42</v>
      </c>
      <c r="N629" s="656" t="s">
        <v>69</v>
      </c>
      <c r="O629" s="656" t="s">
        <v>70</v>
      </c>
      <c r="P629" s="656" t="s">
        <v>45</v>
      </c>
      <c r="Q629" s="657">
        <v>42051</v>
      </c>
      <c r="R629" s="657">
        <v>42051</v>
      </c>
      <c r="S629" s="657">
        <v>357435</v>
      </c>
      <c r="T629" s="657">
        <v>357435</v>
      </c>
      <c r="U629" s="657">
        <v>21026</v>
      </c>
      <c r="V629" s="655">
        <v>2021</v>
      </c>
      <c r="W629" s="659"/>
      <c r="X629" s="660">
        <f t="shared" si="29"/>
        <v>16.999667078854753</v>
      </c>
      <c r="Y629" s="661" t="str">
        <f t="shared" si="27"/>
        <v/>
      </c>
      <c r="Z629" s="661" t="str">
        <f t="shared" si="28"/>
        <v/>
      </c>
    </row>
    <row r="630" spans="1:26" s="128" customFormat="1" ht="25" hidden="1">
      <c r="A630" s="655">
        <v>10839</v>
      </c>
      <c r="B630" s="656" t="s">
        <v>33</v>
      </c>
      <c r="C630" s="655" t="s">
        <v>2793</v>
      </c>
      <c r="D630" s="656" t="s">
        <v>3110</v>
      </c>
      <c r="E630" s="656" t="s">
        <v>3109</v>
      </c>
      <c r="F630" s="655">
        <v>64003</v>
      </c>
      <c r="G630" s="656" t="s">
        <v>96</v>
      </c>
      <c r="H630" s="656" t="s">
        <v>1183</v>
      </c>
      <c r="I630" s="656" t="s">
        <v>58</v>
      </c>
      <c r="J630" s="655">
        <v>22</v>
      </c>
      <c r="K630" s="655">
        <v>2</v>
      </c>
      <c r="L630" s="656" t="s">
        <v>52</v>
      </c>
      <c r="M630" s="656" t="s">
        <v>42</v>
      </c>
      <c r="N630" s="656" t="s">
        <v>69</v>
      </c>
      <c r="O630" s="656" t="s">
        <v>70</v>
      </c>
      <c r="P630" s="656" t="s">
        <v>45</v>
      </c>
      <c r="Q630" s="657">
        <v>95289</v>
      </c>
      <c r="R630" s="657">
        <v>95289</v>
      </c>
      <c r="S630" s="657">
        <v>762312</v>
      </c>
      <c r="T630" s="657">
        <v>762312</v>
      </c>
      <c r="U630" s="657">
        <v>52368</v>
      </c>
      <c r="V630" s="655">
        <v>2021</v>
      </c>
      <c r="W630" s="659"/>
      <c r="X630" s="660">
        <f t="shared" si="29"/>
        <v>14.556828597616866</v>
      </c>
      <c r="Y630" s="661" t="str">
        <f t="shared" si="27"/>
        <v/>
      </c>
      <c r="Z630" s="661" t="str">
        <f t="shared" si="28"/>
        <v/>
      </c>
    </row>
    <row r="631" spans="1:26" s="128" customFormat="1" hidden="1">
      <c r="A631" s="655">
        <v>10848</v>
      </c>
      <c r="B631" s="656" t="s">
        <v>33</v>
      </c>
      <c r="C631" s="655" t="s">
        <v>2793</v>
      </c>
      <c r="D631" s="656" t="s">
        <v>835</v>
      </c>
      <c r="E631" s="656" t="s">
        <v>3111</v>
      </c>
      <c r="F631" s="655">
        <v>63985</v>
      </c>
      <c r="G631" s="656" t="s">
        <v>57</v>
      </c>
      <c r="H631" s="656" t="s">
        <v>1182</v>
      </c>
      <c r="I631" s="656" t="s">
        <v>58</v>
      </c>
      <c r="J631" s="655">
        <v>22</v>
      </c>
      <c r="K631" s="655">
        <v>2</v>
      </c>
      <c r="L631" s="656" t="s">
        <v>52</v>
      </c>
      <c r="M631" s="656" t="s">
        <v>35</v>
      </c>
      <c r="N631" s="656" t="s">
        <v>36</v>
      </c>
      <c r="O631" s="656" t="s">
        <v>37</v>
      </c>
      <c r="P631" s="656" t="s">
        <v>1176</v>
      </c>
      <c r="Q631" s="657">
        <v>0</v>
      </c>
      <c r="R631" s="657">
        <v>0</v>
      </c>
      <c r="S631" s="657">
        <v>28333</v>
      </c>
      <c r="T631" s="657">
        <v>28333</v>
      </c>
      <c r="U631" s="657">
        <v>3204</v>
      </c>
      <c r="V631" s="655">
        <v>2021</v>
      </c>
      <c r="W631" s="659"/>
      <c r="X631" s="660">
        <f t="shared" si="29"/>
        <v>8.8430087390761543</v>
      </c>
      <c r="Y631" s="661" t="str">
        <f t="shared" si="27"/>
        <v/>
      </c>
      <c r="Z631" s="661" t="str">
        <f t="shared" si="28"/>
        <v/>
      </c>
    </row>
    <row r="632" spans="1:26" s="128" customFormat="1" ht="25" hidden="1">
      <c r="A632" s="655">
        <v>10853</v>
      </c>
      <c r="B632" s="656" t="s">
        <v>33</v>
      </c>
      <c r="C632" s="655" t="s">
        <v>2793</v>
      </c>
      <c r="D632" s="656" t="s">
        <v>836</v>
      </c>
      <c r="E632" s="656" t="s">
        <v>2318</v>
      </c>
      <c r="F632" s="655">
        <v>8736</v>
      </c>
      <c r="G632" s="656" t="s">
        <v>57</v>
      </c>
      <c r="H632" s="656" t="s">
        <v>1182</v>
      </c>
      <c r="I632" s="656" t="s">
        <v>58</v>
      </c>
      <c r="J632" s="655">
        <v>322</v>
      </c>
      <c r="K632" s="655">
        <v>6</v>
      </c>
      <c r="L632" s="656" t="s">
        <v>410</v>
      </c>
      <c r="M632" s="656" t="s">
        <v>35</v>
      </c>
      <c r="N632" s="656" t="s">
        <v>36</v>
      </c>
      <c r="O632" s="656" t="s">
        <v>37</v>
      </c>
      <c r="P632" s="656" t="s">
        <v>1176</v>
      </c>
      <c r="Q632" s="657">
        <v>0</v>
      </c>
      <c r="R632" s="657">
        <v>0</v>
      </c>
      <c r="S632" s="657">
        <v>10018</v>
      </c>
      <c r="T632" s="657">
        <v>10018</v>
      </c>
      <c r="U632" s="657">
        <v>1133</v>
      </c>
      <c r="V632" s="655">
        <v>2021</v>
      </c>
      <c r="W632" s="659"/>
      <c r="X632" s="660" t="str">
        <f t="shared" si="29"/>
        <v/>
      </c>
      <c r="Y632" s="661" t="str">
        <f t="shared" si="27"/>
        <v/>
      </c>
      <c r="Z632" s="661" t="str">
        <f t="shared" si="28"/>
        <v/>
      </c>
    </row>
    <row r="633" spans="1:26" s="128" customFormat="1" hidden="1">
      <c r="A633" s="655">
        <v>10872</v>
      </c>
      <c r="B633" s="656" t="s">
        <v>33</v>
      </c>
      <c r="C633" s="655" t="s">
        <v>2793</v>
      </c>
      <c r="D633" s="656" t="s">
        <v>2130</v>
      </c>
      <c r="E633" s="656" t="s">
        <v>764</v>
      </c>
      <c r="F633" s="655">
        <v>56590</v>
      </c>
      <c r="G633" s="656" t="s">
        <v>57</v>
      </c>
      <c r="H633" s="656" t="s">
        <v>1182</v>
      </c>
      <c r="I633" s="656" t="s">
        <v>58</v>
      </c>
      <c r="J633" s="655">
        <v>22</v>
      </c>
      <c r="K633" s="655">
        <v>2</v>
      </c>
      <c r="L633" s="656" t="s">
        <v>52</v>
      </c>
      <c r="M633" s="656" t="s">
        <v>35</v>
      </c>
      <c r="N633" s="656" t="s">
        <v>36</v>
      </c>
      <c r="O633" s="656" t="s">
        <v>37</v>
      </c>
      <c r="P633" s="656" t="s">
        <v>1176</v>
      </c>
      <c r="Q633" s="657">
        <v>0</v>
      </c>
      <c r="R633" s="657">
        <v>0</v>
      </c>
      <c r="S633" s="657">
        <v>15989</v>
      </c>
      <c r="T633" s="657">
        <v>15989</v>
      </c>
      <c r="U633" s="657">
        <v>1808</v>
      </c>
      <c r="V633" s="655">
        <v>2021</v>
      </c>
      <c r="W633" s="659"/>
      <c r="X633" s="660">
        <f t="shared" si="29"/>
        <v>8.8434734513274336</v>
      </c>
      <c r="Y633" s="661" t="str">
        <f t="shared" si="27"/>
        <v/>
      </c>
      <c r="Z633" s="661" t="str">
        <f t="shared" si="28"/>
        <v/>
      </c>
    </row>
    <row r="634" spans="1:26" s="128" customFormat="1" ht="25" hidden="1">
      <c r="A634" s="655">
        <v>10883</v>
      </c>
      <c r="B634" s="656" t="s">
        <v>54</v>
      </c>
      <c r="C634" s="655" t="s">
        <v>2793</v>
      </c>
      <c r="D634" s="656" t="s">
        <v>418</v>
      </c>
      <c r="E634" s="656" t="s">
        <v>3365</v>
      </c>
      <c r="F634" s="655">
        <v>12258</v>
      </c>
      <c r="G634" s="656" t="s">
        <v>81</v>
      </c>
      <c r="H634" s="656" t="s">
        <v>1183</v>
      </c>
      <c r="I634" s="656" t="s">
        <v>58</v>
      </c>
      <c r="J634" s="655">
        <v>622</v>
      </c>
      <c r="K634" s="655">
        <v>5</v>
      </c>
      <c r="L634" s="656" t="s">
        <v>413</v>
      </c>
      <c r="M634" s="656" t="s">
        <v>50</v>
      </c>
      <c r="N634" s="656" t="s">
        <v>46</v>
      </c>
      <c r="O634" s="656" t="s">
        <v>46</v>
      </c>
      <c r="P634" s="656" t="s">
        <v>47</v>
      </c>
      <c r="Q634" s="657">
        <v>1433</v>
      </c>
      <c r="R634" s="657">
        <v>587</v>
      </c>
      <c r="S634" s="657">
        <v>8280</v>
      </c>
      <c r="T634" s="657">
        <v>3389</v>
      </c>
      <c r="U634" s="657">
        <v>710.61099999999999</v>
      </c>
      <c r="V634" s="655">
        <v>2021</v>
      </c>
      <c r="W634" s="659"/>
      <c r="X634" s="660" t="str">
        <f t="shared" si="29"/>
        <v/>
      </c>
      <c r="Y634" s="661" t="str">
        <f t="shared" si="27"/>
        <v/>
      </c>
      <c r="Z634" s="661">
        <f t="shared" si="28"/>
        <v>4.4815171515996584</v>
      </c>
    </row>
    <row r="635" spans="1:26" s="128" customFormat="1" ht="25" hidden="1">
      <c r="A635" s="655">
        <v>10883</v>
      </c>
      <c r="B635" s="656" t="s">
        <v>54</v>
      </c>
      <c r="C635" s="655" t="s">
        <v>2793</v>
      </c>
      <c r="D635" s="656" t="s">
        <v>418</v>
      </c>
      <c r="E635" s="656" t="s">
        <v>3365</v>
      </c>
      <c r="F635" s="655">
        <v>12258</v>
      </c>
      <c r="G635" s="656" t="s">
        <v>81</v>
      </c>
      <c r="H635" s="656" t="s">
        <v>1183</v>
      </c>
      <c r="I635" s="656" t="s">
        <v>58</v>
      </c>
      <c r="J635" s="655">
        <v>622</v>
      </c>
      <c r="K635" s="655">
        <v>5</v>
      </c>
      <c r="L635" s="656" t="s">
        <v>413</v>
      </c>
      <c r="M635" s="656" t="s">
        <v>50</v>
      </c>
      <c r="N635" s="656" t="s">
        <v>39</v>
      </c>
      <c r="O635" s="656" t="s">
        <v>39</v>
      </c>
      <c r="P635" s="656" t="s">
        <v>1037</v>
      </c>
      <c r="Q635" s="657">
        <v>2678361</v>
      </c>
      <c r="R635" s="657">
        <v>1096130</v>
      </c>
      <c r="S635" s="657">
        <v>2750677</v>
      </c>
      <c r="T635" s="657">
        <v>1125725</v>
      </c>
      <c r="U635" s="657">
        <v>236032.89</v>
      </c>
      <c r="V635" s="655">
        <v>2021</v>
      </c>
      <c r="W635" s="659"/>
      <c r="X635" s="660" t="str">
        <f t="shared" si="29"/>
        <v/>
      </c>
      <c r="Y635" s="661">
        <f t="shared" si="27"/>
        <v>4.4822257284045968</v>
      </c>
      <c r="Z635" s="661" t="str">
        <f t="shared" si="28"/>
        <v/>
      </c>
    </row>
    <row r="636" spans="1:26" s="128" customFormat="1" ht="25" hidden="1">
      <c r="A636" s="655">
        <v>10883</v>
      </c>
      <c r="B636" s="656" t="s">
        <v>54</v>
      </c>
      <c r="C636" s="655" t="s">
        <v>2793</v>
      </c>
      <c r="D636" s="656" t="s">
        <v>418</v>
      </c>
      <c r="E636" s="656" t="s">
        <v>3365</v>
      </c>
      <c r="F636" s="655">
        <v>12258</v>
      </c>
      <c r="G636" s="656" t="s">
        <v>81</v>
      </c>
      <c r="H636" s="656" t="s">
        <v>1183</v>
      </c>
      <c r="I636" s="656" t="s">
        <v>58</v>
      </c>
      <c r="J636" s="655">
        <v>622</v>
      </c>
      <c r="K636" s="655">
        <v>5</v>
      </c>
      <c r="L636" s="656" t="s">
        <v>413</v>
      </c>
      <c r="M636" s="656" t="s">
        <v>51</v>
      </c>
      <c r="N636" s="656" t="s">
        <v>46</v>
      </c>
      <c r="O636" s="656" t="s">
        <v>46</v>
      </c>
      <c r="P636" s="656" t="s">
        <v>47</v>
      </c>
      <c r="Q636" s="657">
        <v>1039</v>
      </c>
      <c r="R636" s="657">
        <v>474</v>
      </c>
      <c r="S636" s="657">
        <v>6004</v>
      </c>
      <c r="T636" s="657">
        <v>2744</v>
      </c>
      <c r="U636" s="657">
        <v>575.26</v>
      </c>
      <c r="V636" s="655">
        <v>2021</v>
      </c>
      <c r="W636" s="659"/>
      <c r="X636" s="660" t="str">
        <f t="shared" si="29"/>
        <v/>
      </c>
      <c r="Y636" s="661" t="str">
        <f t="shared" si="27"/>
        <v/>
      </c>
      <c r="Z636" s="661" t="str">
        <f t="shared" si="28"/>
        <v/>
      </c>
    </row>
    <row r="637" spans="1:26" s="128" customFormat="1" ht="25" hidden="1">
      <c r="A637" s="655">
        <v>10883</v>
      </c>
      <c r="B637" s="656" t="s">
        <v>54</v>
      </c>
      <c r="C637" s="655" t="s">
        <v>2793</v>
      </c>
      <c r="D637" s="656" t="s">
        <v>418</v>
      </c>
      <c r="E637" s="656" t="s">
        <v>3365</v>
      </c>
      <c r="F637" s="655">
        <v>12258</v>
      </c>
      <c r="G637" s="656" t="s">
        <v>81</v>
      </c>
      <c r="H637" s="656" t="s">
        <v>1183</v>
      </c>
      <c r="I637" s="656" t="s">
        <v>58</v>
      </c>
      <c r="J637" s="655">
        <v>622</v>
      </c>
      <c r="K637" s="655">
        <v>5</v>
      </c>
      <c r="L637" s="656" t="s">
        <v>413</v>
      </c>
      <c r="M637" s="656" t="s">
        <v>42</v>
      </c>
      <c r="N637" s="656" t="s">
        <v>46</v>
      </c>
      <c r="O637" s="656" t="s">
        <v>46</v>
      </c>
      <c r="P637" s="656" t="s">
        <v>47</v>
      </c>
      <c r="Q637" s="657">
        <v>1114</v>
      </c>
      <c r="R637" s="657">
        <v>152</v>
      </c>
      <c r="S637" s="657">
        <v>6437</v>
      </c>
      <c r="T637" s="657">
        <v>878</v>
      </c>
      <c r="U637" s="657">
        <v>182.19</v>
      </c>
      <c r="V637" s="655">
        <v>2021</v>
      </c>
      <c r="W637" s="659"/>
      <c r="X637" s="660" t="str">
        <f t="shared" si="29"/>
        <v/>
      </c>
      <c r="Y637" s="661" t="str">
        <f t="shared" si="27"/>
        <v/>
      </c>
      <c r="Z637" s="661" t="str">
        <f t="shared" si="28"/>
        <v/>
      </c>
    </row>
    <row r="638" spans="1:26" s="128" customFormat="1" ht="25" hidden="1">
      <c r="A638" s="655">
        <v>10883</v>
      </c>
      <c r="B638" s="656" t="s">
        <v>54</v>
      </c>
      <c r="C638" s="655" t="s">
        <v>2793</v>
      </c>
      <c r="D638" s="656" t="s">
        <v>418</v>
      </c>
      <c r="E638" s="656" t="s">
        <v>3365</v>
      </c>
      <c r="F638" s="655">
        <v>12258</v>
      </c>
      <c r="G638" s="656" t="s">
        <v>81</v>
      </c>
      <c r="H638" s="656" t="s">
        <v>1183</v>
      </c>
      <c r="I638" s="656" t="s">
        <v>58</v>
      </c>
      <c r="J638" s="655">
        <v>622</v>
      </c>
      <c r="K638" s="655">
        <v>5</v>
      </c>
      <c r="L638" s="656" t="s">
        <v>413</v>
      </c>
      <c r="M638" s="656" t="s">
        <v>42</v>
      </c>
      <c r="N638" s="656" t="s">
        <v>39</v>
      </c>
      <c r="O638" s="656" t="s">
        <v>39</v>
      </c>
      <c r="P638" s="656" t="s">
        <v>1037</v>
      </c>
      <c r="Q638" s="657">
        <v>2066112</v>
      </c>
      <c r="R638" s="657">
        <v>384047</v>
      </c>
      <c r="S638" s="657">
        <v>2121895</v>
      </c>
      <c r="T638" s="657">
        <v>394416</v>
      </c>
      <c r="U638" s="657">
        <v>81853.62</v>
      </c>
      <c r="V638" s="655">
        <v>2021</v>
      </c>
      <c r="W638" s="659"/>
      <c r="X638" s="660" t="str">
        <f t="shared" si="29"/>
        <v/>
      </c>
      <c r="Y638" s="661" t="str">
        <f t="shared" si="27"/>
        <v/>
      </c>
      <c r="Z638" s="661" t="str">
        <f t="shared" si="28"/>
        <v/>
      </c>
    </row>
    <row r="639" spans="1:26" s="128" customFormat="1" ht="25" hidden="1">
      <c r="A639" s="655">
        <v>10902</v>
      </c>
      <c r="B639" s="656" t="s">
        <v>33</v>
      </c>
      <c r="C639" s="655" t="s">
        <v>2793</v>
      </c>
      <c r="D639" s="656" t="s">
        <v>837</v>
      </c>
      <c r="E639" s="656" t="s">
        <v>3106</v>
      </c>
      <c r="F639" s="655">
        <v>64078</v>
      </c>
      <c r="G639" s="656" t="s">
        <v>57</v>
      </c>
      <c r="H639" s="656" t="s">
        <v>1182</v>
      </c>
      <c r="I639" s="656" t="s">
        <v>58</v>
      </c>
      <c r="J639" s="655">
        <v>22</v>
      </c>
      <c r="K639" s="655">
        <v>2</v>
      </c>
      <c r="L639" s="656" t="s">
        <v>52</v>
      </c>
      <c r="M639" s="656" t="s">
        <v>35</v>
      </c>
      <c r="N639" s="656" t="s">
        <v>36</v>
      </c>
      <c r="O639" s="656" t="s">
        <v>37</v>
      </c>
      <c r="P639" s="656" t="s">
        <v>1176</v>
      </c>
      <c r="Q639" s="657">
        <v>0</v>
      </c>
      <c r="R639" s="657">
        <v>0</v>
      </c>
      <c r="S639" s="657">
        <v>65870</v>
      </c>
      <c r="T639" s="657">
        <v>65870</v>
      </c>
      <c r="U639" s="657">
        <v>7449</v>
      </c>
      <c r="V639" s="655">
        <v>2021</v>
      </c>
      <c r="W639" s="659"/>
      <c r="X639" s="660">
        <f t="shared" si="29"/>
        <v>8.8427976909652308</v>
      </c>
      <c r="Y639" s="661" t="str">
        <f t="shared" si="27"/>
        <v/>
      </c>
      <c r="Z639" s="661" t="str">
        <f t="shared" si="28"/>
        <v/>
      </c>
    </row>
    <row r="640" spans="1:26" s="128" customFormat="1" ht="25">
      <c r="A640" s="655">
        <v>50002</v>
      </c>
      <c r="B640" s="656" t="s">
        <v>54</v>
      </c>
      <c r="C640" s="655" t="s">
        <v>2793</v>
      </c>
      <c r="D640" s="656" t="s">
        <v>838</v>
      </c>
      <c r="E640" s="656" t="s">
        <v>1904</v>
      </c>
      <c r="F640" s="655">
        <v>15114</v>
      </c>
      <c r="G640" s="656" t="s">
        <v>81</v>
      </c>
      <c r="H640" s="656" t="s">
        <v>1183</v>
      </c>
      <c r="I640" s="656" t="s">
        <v>58</v>
      </c>
      <c r="J640" s="655">
        <v>22</v>
      </c>
      <c r="K640" s="655">
        <v>3</v>
      </c>
      <c r="L640" s="656" t="s">
        <v>55</v>
      </c>
      <c r="M640" s="656" t="s">
        <v>38</v>
      </c>
      <c r="N640" s="656" t="s">
        <v>46</v>
      </c>
      <c r="O640" s="656" t="s">
        <v>46</v>
      </c>
      <c r="P640" s="656" t="s">
        <v>47</v>
      </c>
      <c r="Q640" s="657">
        <v>0</v>
      </c>
      <c r="R640" s="657">
        <v>0</v>
      </c>
      <c r="S640" s="657">
        <v>0</v>
      </c>
      <c r="T640" s="657">
        <v>0</v>
      </c>
      <c r="U640" s="657">
        <v>63.866</v>
      </c>
      <c r="V640" s="655">
        <v>2021</v>
      </c>
      <c r="W640" s="659" t="s">
        <v>3675</v>
      </c>
      <c r="X640" s="660" t="str">
        <f t="shared" si="29"/>
        <v/>
      </c>
      <c r="Y640" s="661" t="str">
        <f t="shared" si="27"/>
        <v/>
      </c>
      <c r="Z640" s="661" t="str">
        <f t="shared" si="28"/>
        <v/>
      </c>
    </row>
    <row r="641" spans="1:26" s="128" customFormat="1" ht="25">
      <c r="A641" s="655">
        <v>50002</v>
      </c>
      <c r="B641" s="656" t="s">
        <v>54</v>
      </c>
      <c r="C641" s="655" t="s">
        <v>2793</v>
      </c>
      <c r="D641" s="656" t="s">
        <v>838</v>
      </c>
      <c r="E641" s="656" t="s">
        <v>1904</v>
      </c>
      <c r="F641" s="655">
        <v>15114</v>
      </c>
      <c r="G641" s="656" t="s">
        <v>81</v>
      </c>
      <c r="H641" s="656" t="s">
        <v>1183</v>
      </c>
      <c r="I641" s="656" t="s">
        <v>58</v>
      </c>
      <c r="J641" s="655">
        <v>22</v>
      </c>
      <c r="K641" s="655">
        <v>3</v>
      </c>
      <c r="L641" s="656" t="s">
        <v>55</v>
      </c>
      <c r="M641" s="656" t="s">
        <v>38</v>
      </c>
      <c r="N641" s="656" t="s">
        <v>39</v>
      </c>
      <c r="O641" s="656" t="s">
        <v>39</v>
      </c>
      <c r="P641" s="656" t="s">
        <v>1037</v>
      </c>
      <c r="Q641" s="657">
        <v>0</v>
      </c>
      <c r="R641" s="657">
        <v>0</v>
      </c>
      <c r="S641" s="657">
        <v>0</v>
      </c>
      <c r="T641" s="657">
        <v>0</v>
      </c>
      <c r="U641" s="657">
        <v>19757.133999999998</v>
      </c>
      <c r="V641" s="655">
        <v>2021</v>
      </c>
      <c r="W641" s="659" t="s">
        <v>3675</v>
      </c>
      <c r="X641" s="660" t="str">
        <f t="shared" si="29"/>
        <v/>
      </c>
      <c r="Y641" s="661" t="str">
        <f t="shared" si="27"/>
        <v/>
      </c>
      <c r="Z641" s="661" t="str">
        <f t="shared" si="28"/>
        <v/>
      </c>
    </row>
    <row r="642" spans="1:26" s="128" customFormat="1" ht="25">
      <c r="A642" s="655">
        <v>50002</v>
      </c>
      <c r="B642" s="656" t="s">
        <v>54</v>
      </c>
      <c r="C642" s="655" t="s">
        <v>2793</v>
      </c>
      <c r="D642" s="656" t="s">
        <v>838</v>
      </c>
      <c r="E642" s="656" t="s">
        <v>1904</v>
      </c>
      <c r="F642" s="655">
        <v>15114</v>
      </c>
      <c r="G642" s="656" t="s">
        <v>81</v>
      </c>
      <c r="H642" s="656" t="s">
        <v>1183</v>
      </c>
      <c r="I642" s="656" t="s">
        <v>58</v>
      </c>
      <c r="J642" s="655">
        <v>22</v>
      </c>
      <c r="K642" s="655">
        <v>3</v>
      </c>
      <c r="L642" s="656" t="s">
        <v>55</v>
      </c>
      <c r="M642" s="656" t="s">
        <v>41</v>
      </c>
      <c r="N642" s="656" t="s">
        <v>46</v>
      </c>
      <c r="O642" s="656" t="s">
        <v>46</v>
      </c>
      <c r="P642" s="656" t="s">
        <v>47</v>
      </c>
      <c r="Q642" s="657">
        <v>387</v>
      </c>
      <c r="R642" s="657">
        <v>387</v>
      </c>
      <c r="S642" s="657">
        <v>2129</v>
      </c>
      <c r="T642" s="657">
        <v>2129</v>
      </c>
      <c r="U642" s="657">
        <v>164.52099999999999</v>
      </c>
      <c r="V642" s="655">
        <v>2021</v>
      </c>
      <c r="W642" s="659" t="s">
        <v>3675</v>
      </c>
      <c r="X642" s="660">
        <f t="shared" si="29"/>
        <v>12.940597248983414</v>
      </c>
      <c r="Y642" s="661" t="str">
        <f t="shared" si="27"/>
        <v/>
      </c>
      <c r="Z642" s="661" t="str">
        <f t="shared" si="28"/>
        <v/>
      </c>
    </row>
    <row r="643" spans="1:26" s="128" customFormat="1" ht="25">
      <c r="A643" s="655">
        <v>50002</v>
      </c>
      <c r="B643" s="656" t="s">
        <v>54</v>
      </c>
      <c r="C643" s="655" t="s">
        <v>2793</v>
      </c>
      <c r="D643" s="656" t="s">
        <v>838</v>
      </c>
      <c r="E643" s="656" t="s">
        <v>1904</v>
      </c>
      <c r="F643" s="655">
        <v>15114</v>
      </c>
      <c r="G643" s="656" t="s">
        <v>81</v>
      </c>
      <c r="H643" s="656" t="s">
        <v>1183</v>
      </c>
      <c r="I643" s="656" t="s">
        <v>58</v>
      </c>
      <c r="J643" s="655">
        <v>22</v>
      </c>
      <c r="K643" s="655">
        <v>3</v>
      </c>
      <c r="L643" s="656" t="s">
        <v>55</v>
      </c>
      <c r="M643" s="656" t="s">
        <v>41</v>
      </c>
      <c r="N643" s="656" t="s">
        <v>39</v>
      </c>
      <c r="O643" s="656" t="s">
        <v>39</v>
      </c>
      <c r="P643" s="656" t="s">
        <v>1037</v>
      </c>
      <c r="Q643" s="657">
        <v>574878</v>
      </c>
      <c r="R643" s="657">
        <v>573412</v>
      </c>
      <c r="S643" s="657">
        <v>592547</v>
      </c>
      <c r="T643" s="657">
        <v>591037</v>
      </c>
      <c r="U643" s="657">
        <v>43765.478999999999</v>
      </c>
      <c r="V643" s="655">
        <v>2021</v>
      </c>
      <c r="W643" s="659" t="s">
        <v>3675</v>
      </c>
      <c r="X643" s="660">
        <f t="shared" si="29"/>
        <v>13.504639124365577</v>
      </c>
      <c r="Y643" s="661" t="str">
        <f t="shared" si="27"/>
        <v/>
      </c>
      <c r="Z643" s="661" t="str">
        <f t="shared" si="28"/>
        <v/>
      </c>
    </row>
    <row r="644" spans="1:26" s="128" customFormat="1" hidden="1">
      <c r="A644" s="655">
        <v>50031</v>
      </c>
      <c r="B644" s="656" t="s">
        <v>33</v>
      </c>
      <c r="C644" s="655" t="s">
        <v>2793</v>
      </c>
      <c r="D644" s="656" t="s">
        <v>1687</v>
      </c>
      <c r="E644" s="656" t="s">
        <v>3114</v>
      </c>
      <c r="F644" s="655">
        <v>63840</v>
      </c>
      <c r="G644" s="656" t="s">
        <v>57</v>
      </c>
      <c r="H644" s="656" t="s">
        <v>1182</v>
      </c>
      <c r="I644" s="656" t="s">
        <v>58</v>
      </c>
      <c r="J644" s="655">
        <v>22</v>
      </c>
      <c r="K644" s="655">
        <v>2</v>
      </c>
      <c r="L644" s="656" t="s">
        <v>52</v>
      </c>
      <c r="M644" s="656" t="s">
        <v>35</v>
      </c>
      <c r="N644" s="656" t="s">
        <v>36</v>
      </c>
      <c r="O644" s="656" t="s">
        <v>37</v>
      </c>
      <c r="P644" s="656" t="s">
        <v>1176</v>
      </c>
      <c r="Q644" s="657">
        <v>0</v>
      </c>
      <c r="R644" s="657">
        <v>0</v>
      </c>
      <c r="S644" s="657">
        <v>80684</v>
      </c>
      <c r="T644" s="657">
        <v>80684</v>
      </c>
      <c r="U644" s="657">
        <v>9124</v>
      </c>
      <c r="V644" s="655">
        <v>2021</v>
      </c>
      <c r="W644" s="659"/>
      <c r="X644" s="660">
        <f t="shared" si="29"/>
        <v>8.8430512932924152</v>
      </c>
      <c r="Y644" s="661" t="str">
        <f t="shared" si="27"/>
        <v/>
      </c>
      <c r="Z644" s="661" t="str">
        <f t="shared" si="28"/>
        <v/>
      </c>
    </row>
    <row r="645" spans="1:26" s="128" customFormat="1" ht="25" hidden="1">
      <c r="A645" s="655">
        <v>50034</v>
      </c>
      <c r="B645" s="656" t="s">
        <v>33</v>
      </c>
      <c r="C645" s="655" t="s">
        <v>2793</v>
      </c>
      <c r="D645" s="656" t="s">
        <v>839</v>
      </c>
      <c r="E645" s="656" t="s">
        <v>840</v>
      </c>
      <c r="F645" s="655">
        <v>19774</v>
      </c>
      <c r="G645" s="656" t="s">
        <v>57</v>
      </c>
      <c r="H645" s="656" t="s">
        <v>1182</v>
      </c>
      <c r="I645" s="656" t="s">
        <v>58</v>
      </c>
      <c r="J645" s="655">
        <v>22</v>
      </c>
      <c r="K645" s="655">
        <v>2</v>
      </c>
      <c r="L645" s="656" t="s">
        <v>52</v>
      </c>
      <c r="M645" s="656" t="s">
        <v>35</v>
      </c>
      <c r="N645" s="656" t="s">
        <v>36</v>
      </c>
      <c r="O645" s="656" t="s">
        <v>37</v>
      </c>
      <c r="P645" s="656" t="s">
        <v>1176</v>
      </c>
      <c r="Q645" s="657">
        <v>0</v>
      </c>
      <c r="R645" s="657">
        <v>0</v>
      </c>
      <c r="S645" s="657">
        <v>80373</v>
      </c>
      <c r="T645" s="657">
        <v>80373</v>
      </c>
      <c r="U645" s="657">
        <v>9089</v>
      </c>
      <c r="V645" s="655">
        <v>2021</v>
      </c>
      <c r="W645" s="659"/>
      <c r="X645" s="660">
        <f t="shared" si="29"/>
        <v>8.842887006271317</v>
      </c>
      <c r="Y645" s="661" t="str">
        <f t="shared" si="27"/>
        <v/>
      </c>
      <c r="Z645" s="661" t="str">
        <f t="shared" si="28"/>
        <v/>
      </c>
    </row>
    <row r="646" spans="1:26" s="128" customFormat="1" ht="25" hidden="1">
      <c r="A646" s="655">
        <v>50035</v>
      </c>
      <c r="B646" s="656" t="s">
        <v>33</v>
      </c>
      <c r="C646" s="655" t="s">
        <v>2793</v>
      </c>
      <c r="D646" s="656" t="s">
        <v>841</v>
      </c>
      <c r="E646" s="656" t="s">
        <v>2319</v>
      </c>
      <c r="F646" s="655">
        <v>22219</v>
      </c>
      <c r="G646" s="656" t="s">
        <v>90</v>
      </c>
      <c r="H646" s="656" t="s">
        <v>1183</v>
      </c>
      <c r="I646" s="656" t="s">
        <v>58</v>
      </c>
      <c r="J646" s="655">
        <v>562212</v>
      </c>
      <c r="K646" s="655">
        <v>4</v>
      </c>
      <c r="L646" s="656" t="s">
        <v>412</v>
      </c>
      <c r="M646" s="656" t="s">
        <v>42</v>
      </c>
      <c r="N646" s="656" t="s">
        <v>16</v>
      </c>
      <c r="O646" s="656" t="s">
        <v>64</v>
      </c>
      <c r="P646" s="656" t="s">
        <v>45</v>
      </c>
      <c r="Q646" s="657">
        <v>42068</v>
      </c>
      <c r="R646" s="657">
        <v>42068</v>
      </c>
      <c r="S646" s="657">
        <v>322753</v>
      </c>
      <c r="T646" s="657">
        <v>322753</v>
      </c>
      <c r="U646" s="657">
        <v>6381.598</v>
      </c>
      <c r="V646" s="655">
        <v>2021</v>
      </c>
      <c r="W646" s="659"/>
      <c r="X646" s="660" t="str">
        <f t="shared" si="29"/>
        <v/>
      </c>
      <c r="Y646" s="661" t="str">
        <f t="shared" si="27"/>
        <v/>
      </c>
      <c r="Z646" s="661" t="str">
        <f t="shared" si="28"/>
        <v/>
      </c>
    </row>
    <row r="647" spans="1:26" s="128" customFormat="1" ht="25" hidden="1">
      <c r="A647" s="655">
        <v>50035</v>
      </c>
      <c r="B647" s="656" t="s">
        <v>33</v>
      </c>
      <c r="C647" s="655" t="s">
        <v>2793</v>
      </c>
      <c r="D647" s="656" t="s">
        <v>841</v>
      </c>
      <c r="E647" s="656" t="s">
        <v>2319</v>
      </c>
      <c r="F647" s="655">
        <v>22219</v>
      </c>
      <c r="G647" s="656" t="s">
        <v>90</v>
      </c>
      <c r="H647" s="656" t="s">
        <v>1183</v>
      </c>
      <c r="I647" s="656" t="s">
        <v>58</v>
      </c>
      <c r="J647" s="655">
        <v>562212</v>
      </c>
      <c r="K647" s="655">
        <v>4</v>
      </c>
      <c r="L647" s="656" t="s">
        <v>412</v>
      </c>
      <c r="M647" s="656" t="s">
        <v>42</v>
      </c>
      <c r="N647" s="656" t="s">
        <v>17</v>
      </c>
      <c r="O647" s="656" t="s">
        <v>82</v>
      </c>
      <c r="P647" s="656" t="s">
        <v>45</v>
      </c>
      <c r="Q647" s="657">
        <v>26896</v>
      </c>
      <c r="R647" s="657">
        <v>26896</v>
      </c>
      <c r="S647" s="657">
        <v>394473</v>
      </c>
      <c r="T647" s="657">
        <v>394473</v>
      </c>
      <c r="U647" s="657">
        <v>7799.7</v>
      </c>
      <c r="V647" s="655">
        <v>2021</v>
      </c>
      <c r="W647" s="659"/>
      <c r="X647" s="660" t="str">
        <f t="shared" si="29"/>
        <v/>
      </c>
      <c r="Y647" s="661" t="str">
        <f t="shared" ref="Y647:Y710" si="30">IF(AND($M647=$Y$2,$N647=$Y$3,NOT($Q647=$R647),NOT($U647=0)),IF($K647=5,$S647/($U647+(8/5)*$U647),IF($K647=7,$S647/($U647+(29/25)*$U647),"")),"")</f>
        <v/>
      </c>
      <c r="Z647" s="661" t="str">
        <f t="shared" ref="Z647:Z710" si="31">IF(AND($M647=$Y$2,$N647=$Y$4,NOT($Q647=$R647),NOT($U647=0)),IF($K647=5,$S647/($U647+(8/5)*$U647),IF($K647=7,$S647/($U647+(29/25)*$U647),"")),"")</f>
        <v/>
      </c>
    </row>
    <row r="648" spans="1:26" s="128" customFormat="1" ht="25" hidden="1">
      <c r="A648" s="655">
        <v>50035</v>
      </c>
      <c r="B648" s="656" t="s">
        <v>33</v>
      </c>
      <c r="C648" s="655" t="s">
        <v>2793</v>
      </c>
      <c r="D648" s="656" t="s">
        <v>841</v>
      </c>
      <c r="E648" s="656" t="s">
        <v>2319</v>
      </c>
      <c r="F648" s="655">
        <v>22219</v>
      </c>
      <c r="G648" s="656" t="s">
        <v>90</v>
      </c>
      <c r="H648" s="656" t="s">
        <v>1183</v>
      </c>
      <c r="I648" s="656" t="s">
        <v>58</v>
      </c>
      <c r="J648" s="655">
        <v>562212</v>
      </c>
      <c r="K648" s="655">
        <v>4</v>
      </c>
      <c r="L648" s="656" t="s">
        <v>412</v>
      </c>
      <c r="M648" s="656" t="s">
        <v>42</v>
      </c>
      <c r="N648" s="656" t="s">
        <v>39</v>
      </c>
      <c r="O648" s="656" t="s">
        <v>39</v>
      </c>
      <c r="P648" s="656" t="s">
        <v>1037</v>
      </c>
      <c r="Q648" s="657">
        <v>6110</v>
      </c>
      <c r="R648" s="657">
        <v>6110</v>
      </c>
      <c r="S648" s="657">
        <v>6110</v>
      </c>
      <c r="T648" s="657">
        <v>6110</v>
      </c>
      <c r="U648" s="657">
        <v>117.702</v>
      </c>
      <c r="V648" s="655">
        <v>2021</v>
      </c>
      <c r="W648" s="659"/>
      <c r="X648" s="660" t="str">
        <f t="shared" ref="X648:X711" si="32">IF(OR(K648&gt;3,T648=0,NOT(U648&gt;0)),"",T648/U648)</f>
        <v/>
      </c>
      <c r="Y648" s="661" t="str">
        <f t="shared" si="30"/>
        <v/>
      </c>
      <c r="Z648" s="661" t="str">
        <f t="shared" si="31"/>
        <v/>
      </c>
    </row>
    <row r="649" spans="1:26" s="128" customFormat="1" ht="25" hidden="1">
      <c r="A649" s="655">
        <v>50041</v>
      </c>
      <c r="B649" s="656" t="s">
        <v>54</v>
      </c>
      <c r="C649" s="655" t="s">
        <v>2793</v>
      </c>
      <c r="D649" s="656" t="s">
        <v>842</v>
      </c>
      <c r="E649" s="656" t="s">
        <v>843</v>
      </c>
      <c r="F649" s="655">
        <v>16544</v>
      </c>
      <c r="G649" s="656" t="s">
        <v>81</v>
      </c>
      <c r="H649" s="656" t="s">
        <v>1183</v>
      </c>
      <c r="I649" s="656" t="s">
        <v>58</v>
      </c>
      <c r="J649" s="655">
        <v>327</v>
      </c>
      <c r="K649" s="655">
        <v>7</v>
      </c>
      <c r="L649" s="656" t="s">
        <v>409</v>
      </c>
      <c r="M649" s="656" t="s">
        <v>42</v>
      </c>
      <c r="N649" s="656" t="s">
        <v>43</v>
      </c>
      <c r="O649" s="656" t="s">
        <v>44</v>
      </c>
      <c r="P649" s="656" t="s">
        <v>45</v>
      </c>
      <c r="Q649" s="657">
        <v>0</v>
      </c>
      <c r="R649" s="657">
        <v>0</v>
      </c>
      <c r="S649" s="657">
        <v>0</v>
      </c>
      <c r="T649" s="657">
        <v>0</v>
      </c>
      <c r="U649" s="657">
        <v>0</v>
      </c>
      <c r="V649" s="655">
        <v>2021</v>
      </c>
      <c r="W649" s="659"/>
      <c r="X649" s="660" t="str">
        <f t="shared" si="32"/>
        <v/>
      </c>
      <c r="Y649" s="661" t="str">
        <f t="shared" si="30"/>
        <v/>
      </c>
      <c r="Z649" s="661" t="str">
        <f t="shared" si="31"/>
        <v/>
      </c>
    </row>
    <row r="650" spans="1:26" s="128" customFormat="1" ht="25" hidden="1">
      <c r="A650" s="655">
        <v>50041</v>
      </c>
      <c r="B650" s="656" t="s">
        <v>54</v>
      </c>
      <c r="C650" s="655" t="s">
        <v>2793</v>
      </c>
      <c r="D650" s="656" t="s">
        <v>842</v>
      </c>
      <c r="E650" s="656" t="s">
        <v>843</v>
      </c>
      <c r="F650" s="655">
        <v>16544</v>
      </c>
      <c r="G650" s="656" t="s">
        <v>81</v>
      </c>
      <c r="H650" s="656" t="s">
        <v>1183</v>
      </c>
      <c r="I650" s="656" t="s">
        <v>58</v>
      </c>
      <c r="J650" s="655">
        <v>327</v>
      </c>
      <c r="K650" s="655">
        <v>7</v>
      </c>
      <c r="L650" s="656" t="s">
        <v>409</v>
      </c>
      <c r="M650" s="656" t="s">
        <v>42</v>
      </c>
      <c r="N650" s="656" t="s">
        <v>39</v>
      </c>
      <c r="O650" s="656" t="s">
        <v>39</v>
      </c>
      <c r="P650" s="656" t="s">
        <v>1037</v>
      </c>
      <c r="Q650" s="657">
        <v>980261</v>
      </c>
      <c r="R650" s="657">
        <v>264414</v>
      </c>
      <c r="S650" s="657">
        <v>1009668</v>
      </c>
      <c r="T650" s="657">
        <v>272347</v>
      </c>
      <c r="U650" s="657">
        <v>29997</v>
      </c>
      <c r="V650" s="655">
        <v>2021</v>
      </c>
      <c r="W650" s="659"/>
      <c r="X650" s="660" t="str">
        <f t="shared" si="32"/>
        <v/>
      </c>
      <c r="Y650" s="661" t="str">
        <f t="shared" si="30"/>
        <v/>
      </c>
      <c r="Z650" s="661" t="str">
        <f t="shared" si="31"/>
        <v/>
      </c>
    </row>
    <row r="651" spans="1:26" s="128" customFormat="1" ht="25" hidden="1">
      <c r="A651" s="655">
        <v>50047</v>
      </c>
      <c r="B651" s="656" t="s">
        <v>33</v>
      </c>
      <c r="C651" s="655" t="s">
        <v>2793</v>
      </c>
      <c r="D651" s="656" t="s">
        <v>844</v>
      </c>
      <c r="E651" s="656" t="s">
        <v>3104</v>
      </c>
      <c r="F651" s="655">
        <v>57280</v>
      </c>
      <c r="G651" s="656" t="s">
        <v>90</v>
      </c>
      <c r="H651" s="656" t="s">
        <v>1183</v>
      </c>
      <c r="I651" s="656" t="s">
        <v>58</v>
      </c>
      <c r="J651" s="655">
        <v>22</v>
      </c>
      <c r="K651" s="655">
        <v>2</v>
      </c>
      <c r="L651" s="656" t="s">
        <v>52</v>
      </c>
      <c r="M651" s="656" t="s">
        <v>35</v>
      </c>
      <c r="N651" s="656" t="s">
        <v>36</v>
      </c>
      <c r="O651" s="656" t="s">
        <v>37</v>
      </c>
      <c r="P651" s="656" t="s">
        <v>1176</v>
      </c>
      <c r="Q651" s="657">
        <v>0</v>
      </c>
      <c r="R651" s="657">
        <v>0</v>
      </c>
      <c r="S651" s="657">
        <v>153912</v>
      </c>
      <c r="T651" s="657">
        <v>153912</v>
      </c>
      <c r="U651" s="657">
        <v>17405</v>
      </c>
      <c r="V651" s="655">
        <v>2021</v>
      </c>
      <c r="W651" s="659"/>
      <c r="X651" s="660">
        <f t="shared" si="32"/>
        <v>8.8429761562769311</v>
      </c>
      <c r="Y651" s="661" t="str">
        <f t="shared" si="30"/>
        <v/>
      </c>
      <c r="Z651" s="661" t="str">
        <f t="shared" si="31"/>
        <v/>
      </c>
    </row>
    <row r="652" spans="1:26" s="128" customFormat="1" ht="25" hidden="1">
      <c r="A652" s="655">
        <v>50051</v>
      </c>
      <c r="B652" s="656" t="s">
        <v>33</v>
      </c>
      <c r="C652" s="655" t="s">
        <v>2793</v>
      </c>
      <c r="D652" s="656" t="s">
        <v>845</v>
      </c>
      <c r="E652" s="656" t="s">
        <v>846</v>
      </c>
      <c r="F652" s="655">
        <v>6036</v>
      </c>
      <c r="G652" s="656" t="s">
        <v>90</v>
      </c>
      <c r="H652" s="656" t="s">
        <v>1183</v>
      </c>
      <c r="I652" s="656" t="s">
        <v>58</v>
      </c>
      <c r="J652" s="655">
        <v>562212</v>
      </c>
      <c r="K652" s="655">
        <v>4</v>
      </c>
      <c r="L652" s="656" t="s">
        <v>412</v>
      </c>
      <c r="M652" s="656" t="s">
        <v>42</v>
      </c>
      <c r="N652" s="656" t="s">
        <v>46</v>
      </c>
      <c r="O652" s="656" t="s">
        <v>46</v>
      </c>
      <c r="P652" s="656" t="s">
        <v>47</v>
      </c>
      <c r="Q652" s="657">
        <v>8250</v>
      </c>
      <c r="R652" s="657">
        <v>8250</v>
      </c>
      <c r="S652" s="657">
        <v>48676</v>
      </c>
      <c r="T652" s="657">
        <v>48676</v>
      </c>
      <c r="U652" s="657">
        <v>2000.9929999999999</v>
      </c>
      <c r="V652" s="655">
        <v>2021</v>
      </c>
      <c r="W652" s="659"/>
      <c r="X652" s="660" t="str">
        <f t="shared" si="32"/>
        <v/>
      </c>
      <c r="Y652" s="661" t="str">
        <f t="shared" si="30"/>
        <v/>
      </c>
      <c r="Z652" s="661" t="str">
        <f t="shared" si="31"/>
        <v/>
      </c>
    </row>
    <row r="653" spans="1:26" s="128" customFormat="1" ht="25" hidden="1">
      <c r="A653" s="655">
        <v>50051</v>
      </c>
      <c r="B653" s="656" t="s">
        <v>33</v>
      </c>
      <c r="C653" s="655" t="s">
        <v>2793</v>
      </c>
      <c r="D653" s="656" t="s">
        <v>845</v>
      </c>
      <c r="E653" s="656" t="s">
        <v>846</v>
      </c>
      <c r="F653" s="655">
        <v>6036</v>
      </c>
      <c r="G653" s="656" t="s">
        <v>90</v>
      </c>
      <c r="H653" s="656" t="s">
        <v>1183</v>
      </c>
      <c r="I653" s="656" t="s">
        <v>58</v>
      </c>
      <c r="J653" s="655">
        <v>562212</v>
      </c>
      <c r="K653" s="655">
        <v>4</v>
      </c>
      <c r="L653" s="656" t="s">
        <v>412</v>
      </c>
      <c r="M653" s="656" t="s">
        <v>42</v>
      </c>
      <c r="N653" s="656" t="s">
        <v>16</v>
      </c>
      <c r="O653" s="656" t="s">
        <v>64</v>
      </c>
      <c r="P653" s="656" t="s">
        <v>45</v>
      </c>
      <c r="Q653" s="657">
        <v>58217</v>
      </c>
      <c r="R653" s="657">
        <v>58217</v>
      </c>
      <c r="S653" s="657">
        <v>482912</v>
      </c>
      <c r="T653" s="657">
        <v>482912</v>
      </c>
      <c r="U653" s="657">
        <v>19330.753000000001</v>
      </c>
      <c r="V653" s="655">
        <v>2021</v>
      </c>
      <c r="W653" s="659"/>
      <c r="X653" s="660" t="str">
        <f t="shared" si="32"/>
        <v/>
      </c>
      <c r="Y653" s="661" t="str">
        <f t="shared" si="30"/>
        <v/>
      </c>
      <c r="Z653" s="661" t="str">
        <f t="shared" si="31"/>
        <v/>
      </c>
    </row>
    <row r="654" spans="1:26" s="128" customFormat="1" ht="25" hidden="1">
      <c r="A654" s="655">
        <v>50051</v>
      </c>
      <c r="B654" s="656" t="s">
        <v>33</v>
      </c>
      <c r="C654" s="655" t="s">
        <v>2793</v>
      </c>
      <c r="D654" s="656" t="s">
        <v>845</v>
      </c>
      <c r="E654" s="656" t="s">
        <v>846</v>
      </c>
      <c r="F654" s="655">
        <v>6036</v>
      </c>
      <c r="G654" s="656" t="s">
        <v>90</v>
      </c>
      <c r="H654" s="656" t="s">
        <v>1183</v>
      </c>
      <c r="I654" s="656" t="s">
        <v>58</v>
      </c>
      <c r="J654" s="655">
        <v>562212</v>
      </c>
      <c r="K654" s="655">
        <v>4</v>
      </c>
      <c r="L654" s="656" t="s">
        <v>412</v>
      </c>
      <c r="M654" s="656" t="s">
        <v>42</v>
      </c>
      <c r="N654" s="656" t="s">
        <v>17</v>
      </c>
      <c r="O654" s="656" t="s">
        <v>82</v>
      </c>
      <c r="P654" s="656" t="s">
        <v>45</v>
      </c>
      <c r="Q654" s="657">
        <v>37224</v>
      </c>
      <c r="R654" s="657">
        <v>37224</v>
      </c>
      <c r="S654" s="657">
        <v>590218</v>
      </c>
      <c r="T654" s="657">
        <v>590218</v>
      </c>
      <c r="U654" s="657">
        <v>23626.254000000001</v>
      </c>
      <c r="V654" s="655">
        <v>2021</v>
      </c>
      <c r="W654" s="659"/>
      <c r="X654" s="660" t="str">
        <f t="shared" si="32"/>
        <v/>
      </c>
      <c r="Y654" s="661" t="str">
        <f t="shared" si="30"/>
        <v/>
      </c>
      <c r="Z654" s="661" t="str">
        <f t="shared" si="31"/>
        <v/>
      </c>
    </row>
    <row r="655" spans="1:26" s="128" customFormat="1" ht="25" hidden="1">
      <c r="A655" s="655">
        <v>50051</v>
      </c>
      <c r="B655" s="656" t="s">
        <v>33</v>
      </c>
      <c r="C655" s="655" t="s">
        <v>2793</v>
      </c>
      <c r="D655" s="656" t="s">
        <v>845</v>
      </c>
      <c r="E655" s="656" t="s">
        <v>846</v>
      </c>
      <c r="F655" s="655">
        <v>6036</v>
      </c>
      <c r="G655" s="656" t="s">
        <v>90</v>
      </c>
      <c r="H655" s="656" t="s">
        <v>1183</v>
      </c>
      <c r="I655" s="656" t="s">
        <v>58</v>
      </c>
      <c r="J655" s="655">
        <v>562212</v>
      </c>
      <c r="K655" s="655">
        <v>4</v>
      </c>
      <c r="L655" s="656" t="s">
        <v>412</v>
      </c>
      <c r="M655" s="656" t="s">
        <v>42</v>
      </c>
      <c r="N655" s="656" t="s">
        <v>69</v>
      </c>
      <c r="O655" s="656" t="s">
        <v>70</v>
      </c>
      <c r="P655" s="656" t="s">
        <v>45</v>
      </c>
      <c r="Q655" s="657">
        <v>0</v>
      </c>
      <c r="R655" s="657">
        <v>0</v>
      </c>
      <c r="S655" s="657">
        <v>0</v>
      </c>
      <c r="T655" s="657">
        <v>0</v>
      </c>
      <c r="U655" s="657">
        <v>0</v>
      </c>
      <c r="V655" s="655">
        <v>2021</v>
      </c>
      <c r="W655" s="659"/>
      <c r="X655" s="660" t="str">
        <f t="shared" si="32"/>
        <v/>
      </c>
      <c r="Y655" s="661" t="str">
        <f t="shared" si="30"/>
        <v/>
      </c>
      <c r="Z655" s="661" t="str">
        <f t="shared" si="31"/>
        <v/>
      </c>
    </row>
    <row r="656" spans="1:26" s="128" customFormat="1" hidden="1">
      <c r="A656" s="655">
        <v>50079</v>
      </c>
      <c r="B656" s="656" t="s">
        <v>33</v>
      </c>
      <c r="C656" s="655" t="s">
        <v>2793</v>
      </c>
      <c r="D656" s="656" t="s">
        <v>847</v>
      </c>
      <c r="E656" s="656" t="s">
        <v>3111</v>
      </c>
      <c r="F656" s="655">
        <v>63985</v>
      </c>
      <c r="G656" s="656" t="s">
        <v>57</v>
      </c>
      <c r="H656" s="656" t="s">
        <v>1182</v>
      </c>
      <c r="I656" s="656" t="s">
        <v>58</v>
      </c>
      <c r="J656" s="655">
        <v>22</v>
      </c>
      <c r="K656" s="655">
        <v>2</v>
      </c>
      <c r="L656" s="656" t="s">
        <v>52</v>
      </c>
      <c r="M656" s="656" t="s">
        <v>35</v>
      </c>
      <c r="N656" s="656" t="s">
        <v>36</v>
      </c>
      <c r="O656" s="656" t="s">
        <v>37</v>
      </c>
      <c r="P656" s="656" t="s">
        <v>1176</v>
      </c>
      <c r="Q656" s="657">
        <v>0</v>
      </c>
      <c r="R656" s="657">
        <v>0</v>
      </c>
      <c r="S656" s="657">
        <v>0</v>
      </c>
      <c r="T656" s="657">
        <v>0</v>
      </c>
      <c r="U656" s="657">
        <v>0</v>
      </c>
      <c r="V656" s="655">
        <v>2021</v>
      </c>
      <c r="W656" s="659"/>
      <c r="X656" s="660" t="str">
        <f t="shared" si="32"/>
        <v/>
      </c>
      <c r="Y656" s="661" t="str">
        <f t="shared" si="30"/>
        <v/>
      </c>
      <c r="Z656" s="661" t="str">
        <f t="shared" si="31"/>
        <v/>
      </c>
    </row>
    <row r="657" spans="1:26" s="128" customFormat="1" ht="25" hidden="1">
      <c r="A657" s="655">
        <v>50080</v>
      </c>
      <c r="B657" s="656" t="s">
        <v>33</v>
      </c>
      <c r="C657" s="655" t="s">
        <v>2793</v>
      </c>
      <c r="D657" s="656" t="s">
        <v>848</v>
      </c>
      <c r="E657" s="656" t="s">
        <v>3104</v>
      </c>
      <c r="F657" s="655">
        <v>57280</v>
      </c>
      <c r="G657" s="656" t="s">
        <v>90</v>
      </c>
      <c r="H657" s="656" t="s">
        <v>1183</v>
      </c>
      <c r="I657" s="656" t="s">
        <v>58</v>
      </c>
      <c r="J657" s="655">
        <v>22</v>
      </c>
      <c r="K657" s="655">
        <v>2</v>
      </c>
      <c r="L657" s="656" t="s">
        <v>52</v>
      </c>
      <c r="M657" s="656" t="s">
        <v>35</v>
      </c>
      <c r="N657" s="656" t="s">
        <v>36</v>
      </c>
      <c r="O657" s="656" t="s">
        <v>37</v>
      </c>
      <c r="P657" s="656" t="s">
        <v>1176</v>
      </c>
      <c r="Q657" s="657">
        <v>0</v>
      </c>
      <c r="R657" s="657">
        <v>0</v>
      </c>
      <c r="S657" s="657">
        <v>360972</v>
      </c>
      <c r="T657" s="657">
        <v>360972</v>
      </c>
      <c r="U657" s="657">
        <v>40820</v>
      </c>
      <c r="V657" s="655">
        <v>2021</v>
      </c>
      <c r="W657" s="659"/>
      <c r="X657" s="660">
        <f t="shared" si="32"/>
        <v>8.8430181283684473</v>
      </c>
      <c r="Y657" s="661" t="str">
        <f t="shared" si="30"/>
        <v/>
      </c>
      <c r="Z657" s="661" t="str">
        <f t="shared" si="31"/>
        <v/>
      </c>
    </row>
    <row r="658" spans="1:26" s="128" customFormat="1" ht="25" hidden="1">
      <c r="A658" s="655">
        <v>50081</v>
      </c>
      <c r="B658" s="656" t="s">
        <v>33</v>
      </c>
      <c r="C658" s="655" t="s">
        <v>2793</v>
      </c>
      <c r="D658" s="656" t="s">
        <v>849</v>
      </c>
      <c r="E658" s="656" t="s">
        <v>3104</v>
      </c>
      <c r="F658" s="655">
        <v>57280</v>
      </c>
      <c r="G658" s="656" t="s">
        <v>90</v>
      </c>
      <c r="H658" s="656" t="s">
        <v>1183</v>
      </c>
      <c r="I658" s="656" t="s">
        <v>58</v>
      </c>
      <c r="J658" s="655">
        <v>22</v>
      </c>
      <c r="K658" s="655">
        <v>2</v>
      </c>
      <c r="L658" s="656" t="s">
        <v>52</v>
      </c>
      <c r="M658" s="656" t="s">
        <v>35</v>
      </c>
      <c r="N658" s="656" t="s">
        <v>36</v>
      </c>
      <c r="O658" s="656" t="s">
        <v>37</v>
      </c>
      <c r="P658" s="656" t="s">
        <v>1176</v>
      </c>
      <c r="Q658" s="657">
        <v>0</v>
      </c>
      <c r="R658" s="657">
        <v>0</v>
      </c>
      <c r="S658" s="657">
        <v>222215</v>
      </c>
      <c r="T658" s="657">
        <v>222215</v>
      </c>
      <c r="U658" s="657">
        <v>25129</v>
      </c>
      <c r="V658" s="655">
        <v>2021</v>
      </c>
      <c r="W658" s="659"/>
      <c r="X658" s="660">
        <f t="shared" si="32"/>
        <v>8.8429702733893105</v>
      </c>
      <c r="Y658" s="661" t="str">
        <f t="shared" si="30"/>
        <v/>
      </c>
      <c r="Z658" s="661" t="str">
        <f t="shared" si="31"/>
        <v/>
      </c>
    </row>
    <row r="659" spans="1:26" s="128" customFormat="1" ht="25" hidden="1">
      <c r="A659" s="655">
        <v>50082</v>
      </c>
      <c r="B659" s="656" t="s">
        <v>33</v>
      </c>
      <c r="C659" s="655" t="s">
        <v>2793</v>
      </c>
      <c r="D659" s="656" t="s">
        <v>850</v>
      </c>
      <c r="E659" s="656" t="s">
        <v>3104</v>
      </c>
      <c r="F659" s="655">
        <v>57280</v>
      </c>
      <c r="G659" s="656" t="s">
        <v>90</v>
      </c>
      <c r="H659" s="656" t="s">
        <v>1183</v>
      </c>
      <c r="I659" s="656" t="s">
        <v>58</v>
      </c>
      <c r="J659" s="655">
        <v>22</v>
      </c>
      <c r="K659" s="655">
        <v>2</v>
      </c>
      <c r="L659" s="656" t="s">
        <v>52</v>
      </c>
      <c r="M659" s="656" t="s">
        <v>35</v>
      </c>
      <c r="N659" s="656" t="s">
        <v>36</v>
      </c>
      <c r="O659" s="656" t="s">
        <v>37</v>
      </c>
      <c r="P659" s="656" t="s">
        <v>1176</v>
      </c>
      <c r="Q659" s="657">
        <v>0</v>
      </c>
      <c r="R659" s="657">
        <v>0</v>
      </c>
      <c r="S659" s="657">
        <v>301362</v>
      </c>
      <c r="T659" s="657">
        <v>301362</v>
      </c>
      <c r="U659" s="657">
        <v>34079</v>
      </c>
      <c r="V659" s="655">
        <v>2021</v>
      </c>
      <c r="W659" s="659"/>
      <c r="X659" s="660">
        <f t="shared" si="32"/>
        <v>8.8430411690483872</v>
      </c>
      <c r="Y659" s="661" t="str">
        <f t="shared" si="30"/>
        <v/>
      </c>
      <c r="Z659" s="661" t="str">
        <f t="shared" si="31"/>
        <v/>
      </c>
    </row>
    <row r="660" spans="1:26" s="128" customFormat="1" ht="25" hidden="1">
      <c r="A660" s="655">
        <v>50087</v>
      </c>
      <c r="B660" s="656" t="s">
        <v>54</v>
      </c>
      <c r="C660" s="655" t="s">
        <v>2793</v>
      </c>
      <c r="D660" s="656" t="s">
        <v>851</v>
      </c>
      <c r="E660" s="656" t="s">
        <v>852</v>
      </c>
      <c r="F660" s="655">
        <v>23955</v>
      </c>
      <c r="G660" s="656" t="s">
        <v>81</v>
      </c>
      <c r="H660" s="656" t="s">
        <v>1183</v>
      </c>
      <c r="I660" s="656" t="s">
        <v>58</v>
      </c>
      <c r="J660" s="655">
        <v>611</v>
      </c>
      <c r="K660" s="655">
        <v>5</v>
      </c>
      <c r="L660" s="656" t="s">
        <v>413</v>
      </c>
      <c r="M660" s="656" t="s">
        <v>50</v>
      </c>
      <c r="N660" s="656" t="s">
        <v>46</v>
      </c>
      <c r="O660" s="656" t="s">
        <v>46</v>
      </c>
      <c r="P660" s="656" t="s">
        <v>47</v>
      </c>
      <c r="Q660" s="657">
        <v>300</v>
      </c>
      <c r="R660" s="657">
        <v>193</v>
      </c>
      <c r="S660" s="657">
        <v>1739</v>
      </c>
      <c r="T660" s="657">
        <v>1115</v>
      </c>
      <c r="U660" s="657">
        <v>179.62200000000001</v>
      </c>
      <c r="V660" s="655">
        <v>2021</v>
      </c>
      <c r="W660" s="659"/>
      <c r="X660" s="660" t="str">
        <f t="shared" si="32"/>
        <v/>
      </c>
      <c r="Y660" s="661" t="str">
        <f t="shared" si="30"/>
        <v/>
      </c>
      <c r="Z660" s="661">
        <f t="shared" si="31"/>
        <v>3.7236315921554919</v>
      </c>
    </row>
    <row r="661" spans="1:26" s="128" customFormat="1" ht="25" hidden="1">
      <c r="A661" s="655">
        <v>50087</v>
      </c>
      <c r="B661" s="656" t="s">
        <v>54</v>
      </c>
      <c r="C661" s="655" t="s">
        <v>2793</v>
      </c>
      <c r="D661" s="656" t="s">
        <v>851</v>
      </c>
      <c r="E661" s="656" t="s">
        <v>852</v>
      </c>
      <c r="F661" s="655">
        <v>23955</v>
      </c>
      <c r="G661" s="656" t="s">
        <v>81</v>
      </c>
      <c r="H661" s="656" t="s">
        <v>1183</v>
      </c>
      <c r="I661" s="656" t="s">
        <v>58</v>
      </c>
      <c r="J661" s="655">
        <v>611</v>
      </c>
      <c r="K661" s="655">
        <v>5</v>
      </c>
      <c r="L661" s="656" t="s">
        <v>413</v>
      </c>
      <c r="M661" s="656" t="s">
        <v>50</v>
      </c>
      <c r="N661" s="656" t="s">
        <v>39</v>
      </c>
      <c r="O661" s="656" t="s">
        <v>39</v>
      </c>
      <c r="P661" s="656" t="s">
        <v>1037</v>
      </c>
      <c r="Q661" s="657">
        <v>562092</v>
      </c>
      <c r="R661" s="657">
        <v>359970</v>
      </c>
      <c r="S661" s="657">
        <v>449673</v>
      </c>
      <c r="T661" s="657">
        <v>287975</v>
      </c>
      <c r="U661" s="657">
        <v>46420.377999999997</v>
      </c>
      <c r="V661" s="655">
        <v>2021</v>
      </c>
      <c r="W661" s="659"/>
      <c r="X661" s="660" t="str">
        <f t="shared" si="32"/>
        <v/>
      </c>
      <c r="Y661" s="661">
        <f t="shared" si="30"/>
        <v>3.7257592742168937</v>
      </c>
      <c r="Z661" s="661" t="str">
        <f t="shared" si="31"/>
        <v/>
      </c>
    </row>
    <row r="662" spans="1:26" s="128" customFormat="1" ht="25" hidden="1">
      <c r="A662" s="655">
        <v>50087</v>
      </c>
      <c r="B662" s="656" t="s">
        <v>54</v>
      </c>
      <c r="C662" s="655" t="s">
        <v>2793</v>
      </c>
      <c r="D662" s="656" t="s">
        <v>851</v>
      </c>
      <c r="E662" s="656" t="s">
        <v>852</v>
      </c>
      <c r="F662" s="655">
        <v>23955</v>
      </c>
      <c r="G662" s="656" t="s">
        <v>81</v>
      </c>
      <c r="H662" s="656" t="s">
        <v>1183</v>
      </c>
      <c r="I662" s="656" t="s">
        <v>58</v>
      </c>
      <c r="J662" s="655">
        <v>611</v>
      </c>
      <c r="K662" s="655">
        <v>5</v>
      </c>
      <c r="L662" s="656" t="s">
        <v>413</v>
      </c>
      <c r="M662" s="656" t="s">
        <v>42</v>
      </c>
      <c r="N662" s="656" t="s">
        <v>39</v>
      </c>
      <c r="O662" s="656" t="s">
        <v>39</v>
      </c>
      <c r="P662" s="656" t="s">
        <v>1037</v>
      </c>
      <c r="Q662" s="657">
        <v>1063506</v>
      </c>
      <c r="R662" s="657">
        <v>337480</v>
      </c>
      <c r="S662" s="657">
        <v>850805</v>
      </c>
      <c r="T662" s="657">
        <v>269982</v>
      </c>
      <c r="U662" s="657">
        <v>19403.530999999999</v>
      </c>
      <c r="V662" s="655">
        <v>2021</v>
      </c>
      <c r="W662" s="659"/>
      <c r="X662" s="660" t="str">
        <f t="shared" si="32"/>
        <v/>
      </c>
      <c r="Y662" s="661" t="str">
        <f t="shared" si="30"/>
        <v/>
      </c>
      <c r="Z662" s="661" t="str">
        <f t="shared" si="31"/>
        <v/>
      </c>
    </row>
    <row r="663" spans="1:26" s="128" customFormat="1" ht="25" hidden="1">
      <c r="A663" s="655">
        <v>50087</v>
      </c>
      <c r="B663" s="656" t="s">
        <v>54</v>
      </c>
      <c r="C663" s="655" t="s">
        <v>2793</v>
      </c>
      <c r="D663" s="656" t="s">
        <v>851</v>
      </c>
      <c r="E663" s="656" t="s">
        <v>852</v>
      </c>
      <c r="F663" s="655">
        <v>23955</v>
      </c>
      <c r="G663" s="656" t="s">
        <v>81</v>
      </c>
      <c r="H663" s="656" t="s">
        <v>1183</v>
      </c>
      <c r="I663" s="656" t="s">
        <v>58</v>
      </c>
      <c r="J663" s="655">
        <v>611</v>
      </c>
      <c r="K663" s="655">
        <v>5</v>
      </c>
      <c r="L663" s="656" t="s">
        <v>413</v>
      </c>
      <c r="M663" s="656" t="s">
        <v>42</v>
      </c>
      <c r="N663" s="656" t="s">
        <v>61</v>
      </c>
      <c r="O663" s="656" t="s">
        <v>61</v>
      </c>
      <c r="P663" s="656" t="s">
        <v>47</v>
      </c>
      <c r="Q663" s="657">
        <v>443</v>
      </c>
      <c r="R663" s="657">
        <v>133</v>
      </c>
      <c r="S663" s="657">
        <v>2835</v>
      </c>
      <c r="T663" s="657">
        <v>849</v>
      </c>
      <c r="U663" s="657">
        <v>81.468999999999994</v>
      </c>
      <c r="V663" s="655">
        <v>2021</v>
      </c>
      <c r="W663" s="659"/>
      <c r="X663" s="660" t="str">
        <f t="shared" si="32"/>
        <v/>
      </c>
      <c r="Y663" s="661" t="str">
        <f t="shared" si="30"/>
        <v/>
      </c>
      <c r="Z663" s="661" t="str">
        <f t="shared" si="31"/>
        <v/>
      </c>
    </row>
    <row r="664" spans="1:26" s="128" customFormat="1" ht="25" hidden="1">
      <c r="A664" s="655">
        <v>50093</v>
      </c>
      <c r="B664" s="656" t="s">
        <v>33</v>
      </c>
      <c r="C664" s="655" t="s">
        <v>2793</v>
      </c>
      <c r="D664" s="656" t="s">
        <v>853</v>
      </c>
      <c r="E664" s="656" t="s">
        <v>3111</v>
      </c>
      <c r="F664" s="655">
        <v>63985</v>
      </c>
      <c r="G664" s="656" t="s">
        <v>57</v>
      </c>
      <c r="H664" s="656" t="s">
        <v>1182</v>
      </c>
      <c r="I664" s="656" t="s">
        <v>58</v>
      </c>
      <c r="J664" s="655">
        <v>22</v>
      </c>
      <c r="K664" s="655">
        <v>2</v>
      </c>
      <c r="L664" s="656" t="s">
        <v>52</v>
      </c>
      <c r="M664" s="656" t="s">
        <v>35</v>
      </c>
      <c r="N664" s="656" t="s">
        <v>36</v>
      </c>
      <c r="O664" s="656" t="s">
        <v>37</v>
      </c>
      <c r="P664" s="656" t="s">
        <v>1176</v>
      </c>
      <c r="Q664" s="657">
        <v>0</v>
      </c>
      <c r="R664" s="657">
        <v>0</v>
      </c>
      <c r="S664" s="657">
        <v>23875</v>
      </c>
      <c r="T664" s="657">
        <v>23875</v>
      </c>
      <c r="U664" s="657">
        <v>2700</v>
      </c>
      <c r="V664" s="655">
        <v>2021</v>
      </c>
      <c r="W664" s="659"/>
      <c r="X664" s="660">
        <f t="shared" si="32"/>
        <v>8.8425925925925934</v>
      </c>
      <c r="Y664" s="661" t="str">
        <f t="shared" si="30"/>
        <v/>
      </c>
      <c r="Z664" s="661" t="str">
        <f t="shared" si="31"/>
        <v/>
      </c>
    </row>
    <row r="665" spans="1:26" s="128" customFormat="1" ht="25" hidden="1">
      <c r="A665" s="655">
        <v>50103</v>
      </c>
      <c r="B665" s="656" t="s">
        <v>33</v>
      </c>
      <c r="C665" s="655" t="s">
        <v>2793</v>
      </c>
      <c r="D665" s="656" t="s">
        <v>854</v>
      </c>
      <c r="E665" s="656" t="s">
        <v>855</v>
      </c>
      <c r="F665" s="655">
        <v>13442</v>
      </c>
      <c r="G665" s="656" t="s">
        <v>96</v>
      </c>
      <c r="H665" s="656" t="s">
        <v>1183</v>
      </c>
      <c r="I665" s="656" t="s">
        <v>58</v>
      </c>
      <c r="J665" s="655">
        <v>22</v>
      </c>
      <c r="K665" s="655">
        <v>2</v>
      </c>
      <c r="L665" s="656" t="s">
        <v>52</v>
      </c>
      <c r="M665" s="656" t="s">
        <v>35</v>
      </c>
      <c r="N665" s="656" t="s">
        <v>36</v>
      </c>
      <c r="O665" s="656" t="s">
        <v>37</v>
      </c>
      <c r="P665" s="656" t="s">
        <v>1176</v>
      </c>
      <c r="Q665" s="657">
        <v>0</v>
      </c>
      <c r="R665" s="657">
        <v>0</v>
      </c>
      <c r="S665" s="657">
        <v>32242</v>
      </c>
      <c r="T665" s="657">
        <v>32242</v>
      </c>
      <c r="U665" s="657">
        <v>3646</v>
      </c>
      <c r="V665" s="655">
        <v>2021</v>
      </c>
      <c r="W665" s="659"/>
      <c r="X665" s="660">
        <f t="shared" si="32"/>
        <v>8.8431157432803076</v>
      </c>
      <c r="Y665" s="661" t="str">
        <f t="shared" si="30"/>
        <v/>
      </c>
      <c r="Z665" s="661" t="str">
        <f t="shared" si="31"/>
        <v/>
      </c>
    </row>
    <row r="666" spans="1:26" s="128" customFormat="1" hidden="1">
      <c r="A666" s="655">
        <v>50123</v>
      </c>
      <c r="B666" s="656" t="s">
        <v>33</v>
      </c>
      <c r="C666" s="655" t="s">
        <v>2793</v>
      </c>
      <c r="D666" s="656" t="s">
        <v>856</v>
      </c>
      <c r="E666" s="656" t="s">
        <v>857</v>
      </c>
      <c r="F666" s="655">
        <v>20148</v>
      </c>
      <c r="G666" s="656" t="s">
        <v>57</v>
      </c>
      <c r="H666" s="656" t="s">
        <v>1182</v>
      </c>
      <c r="I666" s="656" t="s">
        <v>58</v>
      </c>
      <c r="J666" s="655">
        <v>22</v>
      </c>
      <c r="K666" s="655">
        <v>2</v>
      </c>
      <c r="L666" s="656" t="s">
        <v>52</v>
      </c>
      <c r="M666" s="656" t="s">
        <v>35</v>
      </c>
      <c r="N666" s="656" t="s">
        <v>36</v>
      </c>
      <c r="O666" s="656" t="s">
        <v>37</v>
      </c>
      <c r="P666" s="656" t="s">
        <v>1176</v>
      </c>
      <c r="Q666" s="657">
        <v>0</v>
      </c>
      <c r="R666" s="657">
        <v>0</v>
      </c>
      <c r="S666" s="657">
        <v>7526</v>
      </c>
      <c r="T666" s="657">
        <v>7526</v>
      </c>
      <c r="U666" s="657">
        <v>851</v>
      </c>
      <c r="V666" s="655">
        <v>2021</v>
      </c>
      <c r="W666" s="659"/>
      <c r="X666" s="660">
        <f t="shared" si="32"/>
        <v>8.843713278495887</v>
      </c>
      <c r="Y666" s="661" t="str">
        <f t="shared" si="30"/>
        <v/>
      </c>
      <c r="Z666" s="661" t="str">
        <f t="shared" si="31"/>
        <v/>
      </c>
    </row>
    <row r="667" spans="1:26" s="128" customFormat="1" ht="25" hidden="1">
      <c r="A667" s="655">
        <v>50126</v>
      </c>
      <c r="B667" s="656" t="s">
        <v>33</v>
      </c>
      <c r="C667" s="655" t="s">
        <v>2793</v>
      </c>
      <c r="D667" s="656" t="s">
        <v>858</v>
      </c>
      <c r="E667" s="656" t="s">
        <v>132</v>
      </c>
      <c r="F667" s="655">
        <v>7601</v>
      </c>
      <c r="G667" s="656" t="s">
        <v>89</v>
      </c>
      <c r="H667" s="656" t="s">
        <v>1183</v>
      </c>
      <c r="I667" s="656" t="s">
        <v>58</v>
      </c>
      <c r="J667" s="655">
        <v>22</v>
      </c>
      <c r="K667" s="655">
        <v>1</v>
      </c>
      <c r="L667" s="656" t="s">
        <v>34</v>
      </c>
      <c r="M667" s="656" t="s">
        <v>35</v>
      </c>
      <c r="N667" s="656" t="s">
        <v>36</v>
      </c>
      <c r="O667" s="656" t="s">
        <v>37</v>
      </c>
      <c r="P667" s="656" t="s">
        <v>1176</v>
      </c>
      <c r="Q667" s="657">
        <v>0</v>
      </c>
      <c r="R667" s="657">
        <v>0</v>
      </c>
      <c r="S667" s="657">
        <v>21569</v>
      </c>
      <c r="T667" s="657">
        <v>21569</v>
      </c>
      <c r="U667" s="657">
        <v>2439</v>
      </c>
      <c r="V667" s="655">
        <v>2021</v>
      </c>
      <c r="W667" s="659"/>
      <c r="X667" s="660">
        <f t="shared" si="32"/>
        <v>8.8433784337843377</v>
      </c>
      <c r="Y667" s="661" t="str">
        <f t="shared" si="30"/>
        <v/>
      </c>
      <c r="Z667" s="661" t="str">
        <f t="shared" si="31"/>
        <v/>
      </c>
    </row>
    <row r="668" spans="1:26" s="128" customFormat="1" ht="25" hidden="1">
      <c r="A668" s="655">
        <v>50136</v>
      </c>
      <c r="B668" s="656" t="s">
        <v>54</v>
      </c>
      <c r="C668" s="655" t="s">
        <v>2793</v>
      </c>
      <c r="D668" s="656" t="s">
        <v>859</v>
      </c>
      <c r="E668" s="656" t="s">
        <v>860</v>
      </c>
      <c r="F668" s="655">
        <v>17460</v>
      </c>
      <c r="G668" s="656" t="s">
        <v>57</v>
      </c>
      <c r="H668" s="656" t="s">
        <v>1182</v>
      </c>
      <c r="I668" s="656" t="s">
        <v>58</v>
      </c>
      <c r="J668" s="655">
        <v>622</v>
      </c>
      <c r="K668" s="655">
        <v>5</v>
      </c>
      <c r="L668" s="656" t="s">
        <v>413</v>
      </c>
      <c r="M668" s="656" t="s">
        <v>51</v>
      </c>
      <c r="N668" s="656" t="s">
        <v>39</v>
      </c>
      <c r="O668" s="656" t="s">
        <v>39</v>
      </c>
      <c r="P668" s="656" t="s">
        <v>1037</v>
      </c>
      <c r="Q668" s="657">
        <v>73725</v>
      </c>
      <c r="R668" s="657">
        <v>22600</v>
      </c>
      <c r="S668" s="657">
        <v>81098</v>
      </c>
      <c r="T668" s="657">
        <v>24860</v>
      </c>
      <c r="U668" s="657">
        <v>6162</v>
      </c>
      <c r="V668" s="655">
        <v>2021</v>
      </c>
      <c r="W668" s="659"/>
      <c r="X668" s="660" t="str">
        <f t="shared" si="32"/>
        <v/>
      </c>
      <c r="Y668" s="661" t="str">
        <f t="shared" si="30"/>
        <v/>
      </c>
      <c r="Z668" s="661" t="str">
        <f t="shared" si="31"/>
        <v/>
      </c>
    </row>
    <row r="669" spans="1:26" s="128" customFormat="1" ht="25">
      <c r="A669" s="655">
        <v>50166</v>
      </c>
      <c r="B669" s="656" t="s">
        <v>33</v>
      </c>
      <c r="C669" s="655" t="s">
        <v>2793</v>
      </c>
      <c r="D669" s="656" t="s">
        <v>2803</v>
      </c>
      <c r="E669" s="656" t="s">
        <v>3104</v>
      </c>
      <c r="F669" s="655">
        <v>57280</v>
      </c>
      <c r="G669" s="656" t="s">
        <v>81</v>
      </c>
      <c r="H669" s="656" t="s">
        <v>1183</v>
      </c>
      <c r="I669" s="656" t="s">
        <v>58</v>
      </c>
      <c r="J669" s="655">
        <v>22</v>
      </c>
      <c r="K669" s="655">
        <v>2</v>
      </c>
      <c r="L669" s="656" t="s">
        <v>52</v>
      </c>
      <c r="M669" s="656" t="s">
        <v>35</v>
      </c>
      <c r="N669" s="656" t="s">
        <v>36</v>
      </c>
      <c r="O669" s="656" t="s">
        <v>37</v>
      </c>
      <c r="P669" s="656" t="s">
        <v>1176</v>
      </c>
      <c r="Q669" s="657">
        <v>0</v>
      </c>
      <c r="R669" s="657">
        <v>0</v>
      </c>
      <c r="S669" s="657">
        <v>82188</v>
      </c>
      <c r="T669" s="657">
        <v>82188</v>
      </c>
      <c r="U669" s="657">
        <v>9294</v>
      </c>
      <c r="V669" s="655">
        <v>2021</v>
      </c>
      <c r="W669" s="659"/>
      <c r="X669" s="660">
        <f t="shared" si="32"/>
        <v>8.8431245965138796</v>
      </c>
      <c r="Y669" s="661" t="str">
        <f t="shared" si="30"/>
        <v/>
      </c>
      <c r="Z669" s="661" t="str">
        <f t="shared" si="31"/>
        <v/>
      </c>
    </row>
    <row r="670" spans="1:26" s="128" customFormat="1" hidden="1">
      <c r="A670" s="655">
        <v>50176</v>
      </c>
      <c r="B670" s="656" t="s">
        <v>33</v>
      </c>
      <c r="C670" s="655" t="s">
        <v>2793</v>
      </c>
      <c r="D670" s="656" t="s">
        <v>861</v>
      </c>
      <c r="E670" s="656" t="s">
        <v>1054</v>
      </c>
      <c r="F670" s="655">
        <v>56842</v>
      </c>
      <c r="G670" s="656" t="s">
        <v>57</v>
      </c>
      <c r="H670" s="656" t="s">
        <v>1182</v>
      </c>
      <c r="I670" s="656" t="s">
        <v>58</v>
      </c>
      <c r="J670" s="655">
        <v>22</v>
      </c>
      <c r="K670" s="655">
        <v>2</v>
      </c>
      <c r="L670" s="656" t="s">
        <v>52</v>
      </c>
      <c r="M670" s="656" t="s">
        <v>35</v>
      </c>
      <c r="N670" s="656" t="s">
        <v>36</v>
      </c>
      <c r="O670" s="656" t="s">
        <v>37</v>
      </c>
      <c r="P670" s="656" t="s">
        <v>1176</v>
      </c>
      <c r="Q670" s="657">
        <v>0</v>
      </c>
      <c r="R670" s="657">
        <v>0</v>
      </c>
      <c r="S670" s="657">
        <v>80330</v>
      </c>
      <c r="T670" s="657">
        <v>80330</v>
      </c>
      <c r="U670" s="657">
        <v>9084</v>
      </c>
      <c r="V670" s="655">
        <v>2021</v>
      </c>
      <c r="W670" s="659"/>
      <c r="X670" s="660">
        <f t="shared" si="32"/>
        <v>8.8430206957287538</v>
      </c>
      <c r="Y670" s="661" t="str">
        <f t="shared" si="30"/>
        <v/>
      </c>
      <c r="Z670" s="661" t="str">
        <f t="shared" si="31"/>
        <v/>
      </c>
    </row>
    <row r="671" spans="1:26" s="128" customFormat="1" hidden="1">
      <c r="A671" s="655">
        <v>50177</v>
      </c>
      <c r="B671" s="656" t="s">
        <v>33</v>
      </c>
      <c r="C671" s="655" t="s">
        <v>2793</v>
      </c>
      <c r="D671" s="656" t="s">
        <v>1055</v>
      </c>
      <c r="E671" s="656" t="s">
        <v>1056</v>
      </c>
      <c r="F671" s="655">
        <v>56844</v>
      </c>
      <c r="G671" s="656" t="s">
        <v>131</v>
      </c>
      <c r="H671" s="656" t="s">
        <v>1183</v>
      </c>
      <c r="I671" s="656" t="s">
        <v>58</v>
      </c>
      <c r="J671" s="655">
        <v>22</v>
      </c>
      <c r="K671" s="655">
        <v>2</v>
      </c>
      <c r="L671" s="656" t="s">
        <v>52</v>
      </c>
      <c r="M671" s="656" t="s">
        <v>35</v>
      </c>
      <c r="N671" s="656" t="s">
        <v>36</v>
      </c>
      <c r="O671" s="656" t="s">
        <v>37</v>
      </c>
      <c r="P671" s="656" t="s">
        <v>1176</v>
      </c>
      <c r="Q671" s="657">
        <v>0</v>
      </c>
      <c r="R671" s="657">
        <v>0</v>
      </c>
      <c r="S671" s="657">
        <v>39396</v>
      </c>
      <c r="T671" s="657">
        <v>39396</v>
      </c>
      <c r="U671" s="657">
        <v>4455</v>
      </c>
      <c r="V671" s="655">
        <v>2021</v>
      </c>
      <c r="W671" s="659"/>
      <c r="X671" s="660">
        <f t="shared" si="32"/>
        <v>8.8430976430976429</v>
      </c>
      <c r="Y671" s="661" t="str">
        <f t="shared" si="30"/>
        <v/>
      </c>
      <c r="Z671" s="661" t="str">
        <f t="shared" si="31"/>
        <v/>
      </c>
    </row>
    <row r="672" spans="1:26" s="128" customFormat="1" hidden="1">
      <c r="A672" s="655">
        <v>50203</v>
      </c>
      <c r="B672" s="656" t="s">
        <v>54</v>
      </c>
      <c r="C672" s="655" t="s">
        <v>2793</v>
      </c>
      <c r="D672" s="656" t="s">
        <v>862</v>
      </c>
      <c r="E672" s="656" t="s">
        <v>863</v>
      </c>
      <c r="F672" s="655">
        <v>19351</v>
      </c>
      <c r="G672" s="656" t="s">
        <v>57</v>
      </c>
      <c r="H672" s="656" t="s">
        <v>1182</v>
      </c>
      <c r="I672" s="656" t="s">
        <v>58</v>
      </c>
      <c r="J672" s="655">
        <v>322</v>
      </c>
      <c r="K672" s="655">
        <v>7</v>
      </c>
      <c r="L672" s="656" t="s">
        <v>409</v>
      </c>
      <c r="M672" s="656" t="s">
        <v>50</v>
      </c>
      <c r="N672" s="656" t="s">
        <v>39</v>
      </c>
      <c r="O672" s="656" t="s">
        <v>39</v>
      </c>
      <c r="P672" s="656" t="s">
        <v>1037</v>
      </c>
      <c r="Q672" s="657">
        <v>226297</v>
      </c>
      <c r="R672" s="657">
        <v>81403</v>
      </c>
      <c r="S672" s="657">
        <v>243269</v>
      </c>
      <c r="T672" s="657">
        <v>87507</v>
      </c>
      <c r="U672" s="657">
        <v>16085.72</v>
      </c>
      <c r="V672" s="655">
        <v>2021</v>
      </c>
      <c r="W672" s="659"/>
      <c r="X672" s="660" t="str">
        <f t="shared" si="32"/>
        <v/>
      </c>
      <c r="Y672" s="661">
        <f t="shared" si="30"/>
        <v>7.0015229058467421</v>
      </c>
      <c r="Z672" s="661" t="str">
        <f t="shared" si="31"/>
        <v/>
      </c>
    </row>
    <row r="673" spans="1:26" s="128" customFormat="1" ht="25" hidden="1">
      <c r="A673" s="655">
        <v>50208</v>
      </c>
      <c r="B673" s="656" t="s">
        <v>33</v>
      </c>
      <c r="C673" s="655" t="s">
        <v>2793</v>
      </c>
      <c r="D673" s="656" t="s">
        <v>3112</v>
      </c>
      <c r="E673" s="656" t="s">
        <v>3109</v>
      </c>
      <c r="F673" s="655">
        <v>64003</v>
      </c>
      <c r="G673" s="656" t="s">
        <v>96</v>
      </c>
      <c r="H673" s="656" t="s">
        <v>1183</v>
      </c>
      <c r="I673" s="656" t="s">
        <v>58</v>
      </c>
      <c r="J673" s="655">
        <v>22</v>
      </c>
      <c r="K673" s="655">
        <v>2</v>
      </c>
      <c r="L673" s="656" t="s">
        <v>52</v>
      </c>
      <c r="M673" s="656" t="s">
        <v>42</v>
      </c>
      <c r="N673" s="656" t="s">
        <v>69</v>
      </c>
      <c r="O673" s="656" t="s">
        <v>70</v>
      </c>
      <c r="P673" s="656" t="s">
        <v>45</v>
      </c>
      <c r="Q673" s="657">
        <v>0</v>
      </c>
      <c r="R673" s="657">
        <v>0</v>
      </c>
      <c r="S673" s="657">
        <v>0</v>
      </c>
      <c r="T673" s="657">
        <v>0</v>
      </c>
      <c r="U673" s="657">
        <v>0</v>
      </c>
      <c r="V673" s="655">
        <v>2021</v>
      </c>
      <c r="W673" s="659"/>
      <c r="X673" s="660" t="str">
        <f t="shared" si="32"/>
        <v/>
      </c>
      <c r="Y673" s="661" t="str">
        <f t="shared" si="30"/>
        <v/>
      </c>
      <c r="Z673" s="661" t="str">
        <f t="shared" si="31"/>
        <v/>
      </c>
    </row>
    <row r="674" spans="1:26" s="128" customFormat="1" hidden="1">
      <c r="A674" s="655">
        <v>50225</v>
      </c>
      <c r="B674" s="656" t="s">
        <v>33</v>
      </c>
      <c r="C674" s="655" t="s">
        <v>2793</v>
      </c>
      <c r="D674" s="656" t="s">
        <v>864</v>
      </c>
      <c r="E674" s="656" t="s">
        <v>865</v>
      </c>
      <c r="F674" s="655">
        <v>15824</v>
      </c>
      <c r="G674" s="656" t="s">
        <v>90</v>
      </c>
      <c r="H674" s="656" t="s">
        <v>1183</v>
      </c>
      <c r="I674" s="656" t="s">
        <v>58</v>
      </c>
      <c r="J674" s="655">
        <v>22</v>
      </c>
      <c r="K674" s="655">
        <v>2</v>
      </c>
      <c r="L674" s="656" t="s">
        <v>52</v>
      </c>
      <c r="M674" s="656" t="s">
        <v>42</v>
      </c>
      <c r="N674" s="656" t="s">
        <v>16</v>
      </c>
      <c r="O674" s="656" t="s">
        <v>64</v>
      </c>
      <c r="P674" s="656" t="s">
        <v>45</v>
      </c>
      <c r="Q674" s="657">
        <v>111467</v>
      </c>
      <c r="R674" s="657">
        <v>111467</v>
      </c>
      <c r="S674" s="657">
        <v>822290</v>
      </c>
      <c r="T674" s="657">
        <v>822290</v>
      </c>
      <c r="U674" s="657">
        <v>39426.375999999997</v>
      </c>
      <c r="V674" s="655">
        <v>2021</v>
      </c>
      <c r="W674" s="659"/>
      <c r="X674" s="660">
        <f t="shared" si="32"/>
        <v>20.856342464749996</v>
      </c>
      <c r="Y674" s="661" t="str">
        <f t="shared" si="30"/>
        <v/>
      </c>
      <c r="Z674" s="661" t="str">
        <f t="shared" si="31"/>
        <v/>
      </c>
    </row>
    <row r="675" spans="1:26" s="128" customFormat="1" hidden="1">
      <c r="A675" s="655">
        <v>50225</v>
      </c>
      <c r="B675" s="656" t="s">
        <v>33</v>
      </c>
      <c r="C675" s="655" t="s">
        <v>2793</v>
      </c>
      <c r="D675" s="656" t="s">
        <v>864</v>
      </c>
      <c r="E675" s="656" t="s">
        <v>865</v>
      </c>
      <c r="F675" s="655">
        <v>15824</v>
      </c>
      <c r="G675" s="656" t="s">
        <v>90</v>
      </c>
      <c r="H675" s="656" t="s">
        <v>1183</v>
      </c>
      <c r="I675" s="656" t="s">
        <v>58</v>
      </c>
      <c r="J675" s="655">
        <v>22</v>
      </c>
      <c r="K675" s="655">
        <v>2</v>
      </c>
      <c r="L675" s="656" t="s">
        <v>52</v>
      </c>
      <c r="M675" s="656" t="s">
        <v>42</v>
      </c>
      <c r="N675" s="656" t="s">
        <v>17</v>
      </c>
      <c r="O675" s="656" t="s">
        <v>82</v>
      </c>
      <c r="P675" s="656" t="s">
        <v>45</v>
      </c>
      <c r="Q675" s="657">
        <v>71264</v>
      </c>
      <c r="R675" s="657">
        <v>71264</v>
      </c>
      <c r="S675" s="657">
        <v>1005020</v>
      </c>
      <c r="T675" s="657">
        <v>1005020</v>
      </c>
      <c r="U675" s="657">
        <v>48187.711000000003</v>
      </c>
      <c r="V675" s="655">
        <v>2021</v>
      </c>
      <c r="W675" s="659"/>
      <c r="X675" s="660">
        <f t="shared" si="32"/>
        <v>20.856354849476041</v>
      </c>
      <c r="Y675" s="661" t="str">
        <f t="shared" si="30"/>
        <v/>
      </c>
      <c r="Z675" s="661" t="str">
        <f t="shared" si="31"/>
        <v/>
      </c>
    </row>
    <row r="676" spans="1:26" s="128" customFormat="1" hidden="1">
      <c r="A676" s="655">
        <v>50225</v>
      </c>
      <c r="B676" s="656" t="s">
        <v>33</v>
      </c>
      <c r="C676" s="655" t="s">
        <v>2793</v>
      </c>
      <c r="D676" s="656" t="s">
        <v>864</v>
      </c>
      <c r="E676" s="656" t="s">
        <v>865</v>
      </c>
      <c r="F676" s="655">
        <v>15824</v>
      </c>
      <c r="G676" s="656" t="s">
        <v>90</v>
      </c>
      <c r="H676" s="656" t="s">
        <v>1183</v>
      </c>
      <c r="I676" s="656" t="s">
        <v>58</v>
      </c>
      <c r="J676" s="655">
        <v>22</v>
      </c>
      <c r="K676" s="655">
        <v>2</v>
      </c>
      <c r="L676" s="656" t="s">
        <v>52</v>
      </c>
      <c r="M676" s="656" t="s">
        <v>42</v>
      </c>
      <c r="N676" s="656" t="s">
        <v>39</v>
      </c>
      <c r="O676" s="656" t="s">
        <v>39</v>
      </c>
      <c r="P676" s="656" t="s">
        <v>1037</v>
      </c>
      <c r="Q676" s="657">
        <v>11416</v>
      </c>
      <c r="R676" s="657">
        <v>11416</v>
      </c>
      <c r="S676" s="657">
        <v>11416</v>
      </c>
      <c r="T676" s="657">
        <v>11416</v>
      </c>
      <c r="U676" s="657">
        <v>539.91300000000001</v>
      </c>
      <c r="V676" s="655">
        <v>2021</v>
      </c>
      <c r="W676" s="659"/>
      <c r="X676" s="660">
        <f t="shared" si="32"/>
        <v>21.144147297805386</v>
      </c>
      <c r="Y676" s="661" t="str">
        <f t="shared" si="30"/>
        <v/>
      </c>
      <c r="Z676" s="661" t="str">
        <f t="shared" si="31"/>
        <v/>
      </c>
    </row>
    <row r="677" spans="1:26" s="128" customFormat="1" hidden="1">
      <c r="A677" s="655">
        <v>50230</v>
      </c>
      <c r="B677" s="656" t="s">
        <v>54</v>
      </c>
      <c r="C677" s="655" t="s">
        <v>2793</v>
      </c>
      <c r="D677" s="656" t="s">
        <v>866</v>
      </c>
      <c r="E677" s="656" t="s">
        <v>867</v>
      </c>
      <c r="F677" s="655">
        <v>16191</v>
      </c>
      <c r="G677" s="656" t="s">
        <v>90</v>
      </c>
      <c r="H677" s="656" t="s">
        <v>1183</v>
      </c>
      <c r="I677" s="656" t="s">
        <v>58</v>
      </c>
      <c r="J677" s="655">
        <v>321</v>
      </c>
      <c r="K677" s="655">
        <v>7</v>
      </c>
      <c r="L677" s="656" t="s">
        <v>409</v>
      </c>
      <c r="M677" s="656" t="s">
        <v>51</v>
      </c>
      <c r="N677" s="656" t="s">
        <v>46</v>
      </c>
      <c r="O677" s="656" t="s">
        <v>46</v>
      </c>
      <c r="P677" s="656" t="s">
        <v>47</v>
      </c>
      <c r="Q677" s="657">
        <v>43</v>
      </c>
      <c r="R677" s="657">
        <v>37</v>
      </c>
      <c r="S677" s="657">
        <v>261</v>
      </c>
      <c r="T677" s="657">
        <v>233</v>
      </c>
      <c r="U677" s="657">
        <v>35</v>
      </c>
      <c r="V677" s="655">
        <v>2021</v>
      </c>
      <c r="W677" s="659"/>
      <c r="X677" s="660" t="str">
        <f t="shared" si="32"/>
        <v/>
      </c>
      <c r="Y677" s="661" t="str">
        <f t="shared" si="30"/>
        <v/>
      </c>
      <c r="Z677" s="661" t="str">
        <f t="shared" si="31"/>
        <v/>
      </c>
    </row>
    <row r="678" spans="1:26" s="128" customFormat="1" hidden="1">
      <c r="A678" s="655">
        <v>50230</v>
      </c>
      <c r="B678" s="656" t="s">
        <v>54</v>
      </c>
      <c r="C678" s="655" t="s">
        <v>2793</v>
      </c>
      <c r="D678" s="656" t="s">
        <v>866</v>
      </c>
      <c r="E678" s="656" t="s">
        <v>867</v>
      </c>
      <c r="F678" s="655">
        <v>16191</v>
      </c>
      <c r="G678" s="656" t="s">
        <v>90</v>
      </c>
      <c r="H678" s="656" t="s">
        <v>1183</v>
      </c>
      <c r="I678" s="656" t="s">
        <v>58</v>
      </c>
      <c r="J678" s="655">
        <v>321</v>
      </c>
      <c r="K678" s="655">
        <v>7</v>
      </c>
      <c r="L678" s="656" t="s">
        <v>409</v>
      </c>
      <c r="M678" s="656" t="s">
        <v>42</v>
      </c>
      <c r="N678" s="656" t="s">
        <v>419</v>
      </c>
      <c r="O678" s="656" t="s">
        <v>49</v>
      </c>
      <c r="P678" s="656" t="s">
        <v>45</v>
      </c>
      <c r="Q678" s="657">
        <v>0</v>
      </c>
      <c r="R678" s="657">
        <v>0</v>
      </c>
      <c r="S678" s="657">
        <v>0</v>
      </c>
      <c r="T678" s="657">
        <v>0</v>
      </c>
      <c r="U678" s="657">
        <v>0</v>
      </c>
      <c r="V678" s="655">
        <v>2021</v>
      </c>
      <c r="W678" s="659"/>
      <c r="X678" s="660" t="str">
        <f t="shared" si="32"/>
        <v/>
      </c>
      <c r="Y678" s="661" t="str">
        <f t="shared" si="30"/>
        <v/>
      </c>
      <c r="Z678" s="661" t="str">
        <f t="shared" si="31"/>
        <v/>
      </c>
    </row>
    <row r="679" spans="1:26" s="128" customFormat="1" hidden="1">
      <c r="A679" s="655">
        <v>50230</v>
      </c>
      <c r="B679" s="656" t="s">
        <v>54</v>
      </c>
      <c r="C679" s="655" t="s">
        <v>2793</v>
      </c>
      <c r="D679" s="656" t="s">
        <v>866</v>
      </c>
      <c r="E679" s="656" t="s">
        <v>867</v>
      </c>
      <c r="F679" s="655">
        <v>16191</v>
      </c>
      <c r="G679" s="656" t="s">
        <v>90</v>
      </c>
      <c r="H679" s="656" t="s">
        <v>1183</v>
      </c>
      <c r="I679" s="656" t="s">
        <v>58</v>
      </c>
      <c r="J679" s="655">
        <v>321</v>
      </c>
      <c r="K679" s="655">
        <v>7</v>
      </c>
      <c r="L679" s="656" t="s">
        <v>409</v>
      </c>
      <c r="M679" s="656" t="s">
        <v>42</v>
      </c>
      <c r="N679" s="656" t="s">
        <v>69</v>
      </c>
      <c r="O679" s="656" t="s">
        <v>70</v>
      </c>
      <c r="P679" s="656" t="s">
        <v>45</v>
      </c>
      <c r="Q679" s="657">
        <v>0</v>
      </c>
      <c r="R679" s="657">
        <v>0</v>
      </c>
      <c r="S679" s="657">
        <v>0</v>
      </c>
      <c r="T679" s="657">
        <v>0</v>
      </c>
      <c r="U679" s="657">
        <v>0</v>
      </c>
      <c r="V679" s="655">
        <v>2021</v>
      </c>
      <c r="W679" s="659"/>
      <c r="X679" s="660" t="str">
        <f t="shared" si="32"/>
        <v/>
      </c>
      <c r="Y679" s="661" t="str">
        <f t="shared" si="30"/>
        <v/>
      </c>
      <c r="Z679" s="661" t="str">
        <f t="shared" si="31"/>
        <v/>
      </c>
    </row>
    <row r="680" spans="1:26" s="128" customFormat="1" hidden="1">
      <c r="A680" s="655">
        <v>50243</v>
      </c>
      <c r="B680" s="656" t="s">
        <v>33</v>
      </c>
      <c r="C680" s="655" t="s">
        <v>2793</v>
      </c>
      <c r="D680" s="656" t="s">
        <v>1689</v>
      </c>
      <c r="E680" s="656" t="s">
        <v>1689</v>
      </c>
      <c r="F680" s="655">
        <v>9303</v>
      </c>
      <c r="G680" s="656" t="s">
        <v>90</v>
      </c>
      <c r="H680" s="656" t="s">
        <v>1183</v>
      </c>
      <c r="I680" s="656" t="s">
        <v>58</v>
      </c>
      <c r="J680" s="655">
        <v>22</v>
      </c>
      <c r="K680" s="655">
        <v>2</v>
      </c>
      <c r="L680" s="656" t="s">
        <v>52</v>
      </c>
      <c r="M680" s="656" t="s">
        <v>50</v>
      </c>
      <c r="N680" s="656" t="s">
        <v>43</v>
      </c>
      <c r="O680" s="656" t="s">
        <v>44</v>
      </c>
      <c r="P680" s="656" t="s">
        <v>45</v>
      </c>
      <c r="Q680" s="657">
        <v>0</v>
      </c>
      <c r="R680" s="657">
        <v>0</v>
      </c>
      <c r="S680" s="657">
        <v>0</v>
      </c>
      <c r="T680" s="657">
        <v>0</v>
      </c>
      <c r="U680" s="657">
        <v>0</v>
      </c>
      <c r="V680" s="655">
        <v>2021</v>
      </c>
      <c r="W680" s="659" t="s">
        <v>3675</v>
      </c>
      <c r="X680" s="660" t="str">
        <f t="shared" si="32"/>
        <v/>
      </c>
      <c r="Y680" s="661" t="str">
        <f t="shared" si="30"/>
        <v/>
      </c>
      <c r="Z680" s="661" t="str">
        <f t="shared" si="31"/>
        <v/>
      </c>
    </row>
    <row r="681" spans="1:26" s="128" customFormat="1" hidden="1">
      <c r="A681" s="655">
        <v>50243</v>
      </c>
      <c r="B681" s="656" t="s">
        <v>33</v>
      </c>
      <c r="C681" s="655" t="s">
        <v>2793</v>
      </c>
      <c r="D681" s="656" t="s">
        <v>1689</v>
      </c>
      <c r="E681" s="656" t="s">
        <v>1689</v>
      </c>
      <c r="F681" s="655">
        <v>9303</v>
      </c>
      <c r="G681" s="656" t="s">
        <v>90</v>
      </c>
      <c r="H681" s="656" t="s">
        <v>1183</v>
      </c>
      <c r="I681" s="656" t="s">
        <v>58</v>
      </c>
      <c r="J681" s="655">
        <v>22</v>
      </c>
      <c r="K681" s="655">
        <v>2</v>
      </c>
      <c r="L681" s="656" t="s">
        <v>52</v>
      </c>
      <c r="M681" s="656" t="s">
        <v>50</v>
      </c>
      <c r="N681" s="656" t="s">
        <v>46</v>
      </c>
      <c r="O681" s="656" t="s">
        <v>46</v>
      </c>
      <c r="P681" s="656" t="s">
        <v>47</v>
      </c>
      <c r="Q681" s="657">
        <v>783</v>
      </c>
      <c r="R681" s="657">
        <v>783</v>
      </c>
      <c r="S681" s="657">
        <v>4557</v>
      </c>
      <c r="T681" s="657">
        <v>4557</v>
      </c>
      <c r="U681" s="657">
        <v>373.988</v>
      </c>
      <c r="V681" s="655">
        <v>2021</v>
      </c>
      <c r="W681" s="659" t="s">
        <v>3675</v>
      </c>
      <c r="X681" s="660">
        <f t="shared" si="32"/>
        <v>12.184882937420452</v>
      </c>
      <c r="Y681" s="661" t="str">
        <f t="shared" si="30"/>
        <v/>
      </c>
      <c r="Z681" s="661" t="str">
        <f t="shared" si="31"/>
        <v/>
      </c>
    </row>
    <row r="682" spans="1:26" s="128" customFormat="1" hidden="1">
      <c r="A682" s="655">
        <v>50243</v>
      </c>
      <c r="B682" s="656" t="s">
        <v>33</v>
      </c>
      <c r="C682" s="655" t="s">
        <v>2793</v>
      </c>
      <c r="D682" s="656" t="s">
        <v>1689</v>
      </c>
      <c r="E682" s="656" t="s">
        <v>1689</v>
      </c>
      <c r="F682" s="655">
        <v>9303</v>
      </c>
      <c r="G682" s="656" t="s">
        <v>90</v>
      </c>
      <c r="H682" s="656" t="s">
        <v>1183</v>
      </c>
      <c r="I682" s="656" t="s">
        <v>58</v>
      </c>
      <c r="J682" s="655">
        <v>22</v>
      </c>
      <c r="K682" s="655">
        <v>2</v>
      </c>
      <c r="L682" s="656" t="s">
        <v>52</v>
      </c>
      <c r="M682" s="656" t="s">
        <v>50</v>
      </c>
      <c r="N682" s="656" t="s">
        <v>39</v>
      </c>
      <c r="O682" s="656" t="s">
        <v>39</v>
      </c>
      <c r="P682" s="656" t="s">
        <v>1037</v>
      </c>
      <c r="Q682" s="657">
        <v>58937</v>
      </c>
      <c r="R682" s="657">
        <v>58937</v>
      </c>
      <c r="S682" s="657">
        <v>61264</v>
      </c>
      <c r="T682" s="657">
        <v>61264</v>
      </c>
      <c r="U682" s="657">
        <v>5012.0119999999997</v>
      </c>
      <c r="V682" s="655">
        <v>2021</v>
      </c>
      <c r="W682" s="659" t="s">
        <v>3675</v>
      </c>
      <c r="X682" s="660">
        <f t="shared" si="32"/>
        <v>12.223434421146639</v>
      </c>
      <c r="Y682" s="661" t="str">
        <f t="shared" si="30"/>
        <v/>
      </c>
      <c r="Z682" s="661" t="str">
        <f t="shared" si="31"/>
        <v/>
      </c>
    </row>
    <row r="683" spans="1:26" s="128" customFormat="1" hidden="1">
      <c r="A683" s="655">
        <v>50243</v>
      </c>
      <c r="B683" s="656" t="s">
        <v>33</v>
      </c>
      <c r="C683" s="655" t="s">
        <v>2793</v>
      </c>
      <c r="D683" s="656" t="s">
        <v>1689</v>
      </c>
      <c r="E683" s="656" t="s">
        <v>1689</v>
      </c>
      <c r="F683" s="655">
        <v>9303</v>
      </c>
      <c r="G683" s="656" t="s">
        <v>90</v>
      </c>
      <c r="H683" s="656" t="s">
        <v>1183</v>
      </c>
      <c r="I683" s="656" t="s">
        <v>58</v>
      </c>
      <c r="J683" s="655">
        <v>22</v>
      </c>
      <c r="K683" s="655">
        <v>2</v>
      </c>
      <c r="L683" s="656" t="s">
        <v>52</v>
      </c>
      <c r="M683" s="656" t="s">
        <v>50</v>
      </c>
      <c r="N683" s="656" t="s">
        <v>61</v>
      </c>
      <c r="O683" s="656" t="s">
        <v>61</v>
      </c>
      <c r="P683" s="656" t="s">
        <v>47</v>
      </c>
      <c r="Q683" s="657">
        <v>0</v>
      </c>
      <c r="R683" s="657">
        <v>0</v>
      </c>
      <c r="S683" s="657">
        <v>0</v>
      </c>
      <c r="T683" s="657">
        <v>0</v>
      </c>
      <c r="U683" s="657">
        <v>0</v>
      </c>
      <c r="V683" s="655">
        <v>2021</v>
      </c>
      <c r="W683" s="659" t="s">
        <v>3675</v>
      </c>
      <c r="X683" s="660" t="str">
        <f t="shared" si="32"/>
        <v/>
      </c>
      <c r="Y683" s="661" t="str">
        <f t="shared" si="30"/>
        <v/>
      </c>
      <c r="Z683" s="661" t="str">
        <f t="shared" si="31"/>
        <v/>
      </c>
    </row>
    <row r="684" spans="1:26" s="128" customFormat="1" ht="25" hidden="1">
      <c r="A684" s="655">
        <v>50268</v>
      </c>
      <c r="B684" s="656" t="s">
        <v>33</v>
      </c>
      <c r="C684" s="655" t="s">
        <v>2793</v>
      </c>
      <c r="D684" s="656" t="s">
        <v>868</v>
      </c>
      <c r="E684" s="656" t="s">
        <v>119</v>
      </c>
      <c r="F684" s="655">
        <v>5914</v>
      </c>
      <c r="G684" s="656" t="s">
        <v>57</v>
      </c>
      <c r="H684" s="656" t="s">
        <v>1182</v>
      </c>
      <c r="I684" s="656" t="s">
        <v>58</v>
      </c>
      <c r="J684" s="655">
        <v>22</v>
      </c>
      <c r="K684" s="655">
        <v>2</v>
      </c>
      <c r="L684" s="656" t="s">
        <v>52</v>
      </c>
      <c r="M684" s="656" t="s">
        <v>35</v>
      </c>
      <c r="N684" s="656" t="s">
        <v>36</v>
      </c>
      <c r="O684" s="656" t="s">
        <v>37</v>
      </c>
      <c r="P684" s="656" t="s">
        <v>1176</v>
      </c>
      <c r="Q684" s="657">
        <v>0</v>
      </c>
      <c r="R684" s="657">
        <v>0</v>
      </c>
      <c r="S684" s="657">
        <v>126720</v>
      </c>
      <c r="T684" s="657">
        <v>126720</v>
      </c>
      <c r="U684" s="657">
        <v>14330</v>
      </c>
      <c r="V684" s="655">
        <v>2021</v>
      </c>
      <c r="W684" s="659"/>
      <c r="X684" s="660">
        <f t="shared" si="32"/>
        <v>8.8429867411025818</v>
      </c>
      <c r="Y684" s="661" t="str">
        <f t="shared" si="30"/>
        <v/>
      </c>
      <c r="Z684" s="661" t="str">
        <f t="shared" si="31"/>
        <v/>
      </c>
    </row>
    <row r="685" spans="1:26" s="128" customFormat="1" ht="25" hidden="1">
      <c r="A685" s="655">
        <v>50269</v>
      </c>
      <c r="B685" s="656" t="s">
        <v>33</v>
      </c>
      <c r="C685" s="655" t="s">
        <v>2793</v>
      </c>
      <c r="D685" s="656" t="s">
        <v>869</v>
      </c>
      <c r="E685" s="656" t="s">
        <v>119</v>
      </c>
      <c r="F685" s="655">
        <v>5914</v>
      </c>
      <c r="G685" s="656" t="s">
        <v>57</v>
      </c>
      <c r="H685" s="656" t="s">
        <v>1182</v>
      </c>
      <c r="I685" s="656" t="s">
        <v>58</v>
      </c>
      <c r="J685" s="655">
        <v>22</v>
      </c>
      <c r="K685" s="655">
        <v>2</v>
      </c>
      <c r="L685" s="656" t="s">
        <v>52</v>
      </c>
      <c r="M685" s="656" t="s">
        <v>35</v>
      </c>
      <c r="N685" s="656" t="s">
        <v>36</v>
      </c>
      <c r="O685" s="656" t="s">
        <v>37</v>
      </c>
      <c r="P685" s="656" t="s">
        <v>1176</v>
      </c>
      <c r="Q685" s="657">
        <v>0</v>
      </c>
      <c r="R685" s="657">
        <v>0</v>
      </c>
      <c r="S685" s="657">
        <v>125535</v>
      </c>
      <c r="T685" s="657">
        <v>125535</v>
      </c>
      <c r="U685" s="657">
        <v>14196</v>
      </c>
      <c r="V685" s="655">
        <v>2021</v>
      </c>
      <c r="W685" s="659"/>
      <c r="X685" s="660">
        <f t="shared" si="32"/>
        <v>8.8429839391377847</v>
      </c>
      <c r="Y685" s="661" t="str">
        <f t="shared" si="30"/>
        <v/>
      </c>
      <c r="Z685" s="661" t="str">
        <f t="shared" si="31"/>
        <v/>
      </c>
    </row>
    <row r="686" spans="1:26" s="128" customFormat="1" ht="25">
      <c r="A686" s="655">
        <v>50273</v>
      </c>
      <c r="B686" s="656" t="s">
        <v>33</v>
      </c>
      <c r="C686" s="655" t="s">
        <v>2793</v>
      </c>
      <c r="D686" s="656" t="s">
        <v>870</v>
      </c>
      <c r="E686" s="656" t="s">
        <v>2804</v>
      </c>
      <c r="F686" s="655">
        <v>56125</v>
      </c>
      <c r="G686" s="656" t="s">
        <v>81</v>
      </c>
      <c r="H686" s="656" t="s">
        <v>1183</v>
      </c>
      <c r="I686" s="656" t="s">
        <v>58</v>
      </c>
      <c r="J686" s="655">
        <v>22</v>
      </c>
      <c r="K686" s="655">
        <v>2</v>
      </c>
      <c r="L686" s="656" t="s">
        <v>52</v>
      </c>
      <c r="M686" s="656" t="s">
        <v>42</v>
      </c>
      <c r="N686" s="656" t="s">
        <v>46</v>
      </c>
      <c r="O686" s="656" t="s">
        <v>46</v>
      </c>
      <c r="P686" s="656" t="s">
        <v>47</v>
      </c>
      <c r="Q686" s="657">
        <v>0</v>
      </c>
      <c r="R686" s="657">
        <v>0</v>
      </c>
      <c r="S686" s="657">
        <v>0</v>
      </c>
      <c r="T686" s="657">
        <v>0</v>
      </c>
      <c r="U686" s="657">
        <v>0</v>
      </c>
      <c r="V686" s="655">
        <v>2021</v>
      </c>
      <c r="W686" s="659"/>
      <c r="X686" s="660" t="str">
        <f t="shared" si="32"/>
        <v/>
      </c>
      <c r="Y686" s="661" t="str">
        <f t="shared" si="30"/>
        <v/>
      </c>
      <c r="Z686" s="661" t="str">
        <f t="shared" si="31"/>
        <v/>
      </c>
    </row>
    <row r="687" spans="1:26" s="128" customFormat="1" ht="25">
      <c r="A687" s="655">
        <v>50273</v>
      </c>
      <c r="B687" s="656" t="s">
        <v>33</v>
      </c>
      <c r="C687" s="655" t="s">
        <v>2793</v>
      </c>
      <c r="D687" s="656" t="s">
        <v>870</v>
      </c>
      <c r="E687" s="656" t="s">
        <v>2804</v>
      </c>
      <c r="F687" s="655">
        <v>56125</v>
      </c>
      <c r="G687" s="656" t="s">
        <v>81</v>
      </c>
      <c r="H687" s="656" t="s">
        <v>1183</v>
      </c>
      <c r="I687" s="656" t="s">
        <v>58</v>
      </c>
      <c r="J687" s="655">
        <v>22</v>
      </c>
      <c r="K687" s="655">
        <v>2</v>
      </c>
      <c r="L687" s="656" t="s">
        <v>52</v>
      </c>
      <c r="M687" s="656" t="s">
        <v>42</v>
      </c>
      <c r="N687" s="656" t="s">
        <v>16</v>
      </c>
      <c r="O687" s="656" t="s">
        <v>64</v>
      </c>
      <c r="P687" s="656" t="s">
        <v>45</v>
      </c>
      <c r="Q687" s="657">
        <v>60985</v>
      </c>
      <c r="R687" s="657">
        <v>60985</v>
      </c>
      <c r="S687" s="657">
        <v>404879</v>
      </c>
      <c r="T687" s="657">
        <v>404879</v>
      </c>
      <c r="U687" s="657">
        <v>12015.611999999999</v>
      </c>
      <c r="V687" s="655">
        <v>2021</v>
      </c>
      <c r="W687" s="659"/>
      <c r="X687" s="660">
        <f t="shared" si="32"/>
        <v>33.696078069098775</v>
      </c>
      <c r="Y687" s="661" t="str">
        <f t="shared" si="30"/>
        <v/>
      </c>
      <c r="Z687" s="661" t="str">
        <f t="shared" si="31"/>
        <v/>
      </c>
    </row>
    <row r="688" spans="1:26" s="128" customFormat="1" ht="25">
      <c r="A688" s="655">
        <v>50273</v>
      </c>
      <c r="B688" s="656" t="s">
        <v>33</v>
      </c>
      <c r="C688" s="655" t="s">
        <v>2793</v>
      </c>
      <c r="D688" s="656" t="s">
        <v>870</v>
      </c>
      <c r="E688" s="656" t="s">
        <v>2804</v>
      </c>
      <c r="F688" s="655">
        <v>56125</v>
      </c>
      <c r="G688" s="656" t="s">
        <v>81</v>
      </c>
      <c r="H688" s="656" t="s">
        <v>1183</v>
      </c>
      <c r="I688" s="656" t="s">
        <v>58</v>
      </c>
      <c r="J688" s="655">
        <v>22</v>
      </c>
      <c r="K688" s="655">
        <v>2</v>
      </c>
      <c r="L688" s="656" t="s">
        <v>52</v>
      </c>
      <c r="M688" s="656" t="s">
        <v>42</v>
      </c>
      <c r="N688" s="656" t="s">
        <v>17</v>
      </c>
      <c r="O688" s="656" t="s">
        <v>82</v>
      </c>
      <c r="P688" s="656" t="s">
        <v>45</v>
      </c>
      <c r="Q688" s="657">
        <v>38990</v>
      </c>
      <c r="R688" s="657">
        <v>38990</v>
      </c>
      <c r="S688" s="657">
        <v>494861</v>
      </c>
      <c r="T688" s="657">
        <v>494861</v>
      </c>
      <c r="U688" s="657">
        <v>14686</v>
      </c>
      <c r="V688" s="655">
        <v>2021</v>
      </c>
      <c r="W688" s="659"/>
      <c r="X688" s="660">
        <f t="shared" si="32"/>
        <v>33.696105134141362</v>
      </c>
      <c r="Y688" s="661" t="str">
        <f t="shared" si="30"/>
        <v/>
      </c>
      <c r="Z688" s="661" t="str">
        <f t="shared" si="31"/>
        <v/>
      </c>
    </row>
    <row r="689" spans="1:26" s="128" customFormat="1" ht="25">
      <c r="A689" s="655">
        <v>50273</v>
      </c>
      <c r="B689" s="656" t="s">
        <v>33</v>
      </c>
      <c r="C689" s="655" t="s">
        <v>2793</v>
      </c>
      <c r="D689" s="656" t="s">
        <v>870</v>
      </c>
      <c r="E689" s="656" t="s">
        <v>2804</v>
      </c>
      <c r="F689" s="655">
        <v>56125</v>
      </c>
      <c r="G689" s="656" t="s">
        <v>81</v>
      </c>
      <c r="H689" s="656" t="s">
        <v>1183</v>
      </c>
      <c r="I689" s="656" t="s">
        <v>58</v>
      </c>
      <c r="J689" s="655">
        <v>22</v>
      </c>
      <c r="K689" s="655">
        <v>2</v>
      </c>
      <c r="L689" s="656" t="s">
        <v>52</v>
      </c>
      <c r="M689" s="656" t="s">
        <v>42</v>
      </c>
      <c r="N689" s="656" t="s">
        <v>39</v>
      </c>
      <c r="O689" s="656" t="s">
        <v>39</v>
      </c>
      <c r="P689" s="656" t="s">
        <v>1037</v>
      </c>
      <c r="Q689" s="657">
        <v>18547</v>
      </c>
      <c r="R689" s="657">
        <v>18547</v>
      </c>
      <c r="S689" s="657">
        <v>18547</v>
      </c>
      <c r="T689" s="657">
        <v>18547</v>
      </c>
      <c r="U689" s="657">
        <v>550.41999999999996</v>
      </c>
      <c r="V689" s="655">
        <v>2021</v>
      </c>
      <c r="W689" s="659"/>
      <c r="X689" s="660">
        <f t="shared" si="32"/>
        <v>33.696086624759275</v>
      </c>
      <c r="Y689" s="661" t="str">
        <f t="shared" si="30"/>
        <v/>
      </c>
      <c r="Z689" s="661" t="str">
        <f t="shared" si="31"/>
        <v/>
      </c>
    </row>
    <row r="690" spans="1:26" s="128" customFormat="1" ht="25">
      <c r="A690" s="655">
        <v>50273</v>
      </c>
      <c r="B690" s="656" t="s">
        <v>33</v>
      </c>
      <c r="C690" s="655" t="s">
        <v>2793</v>
      </c>
      <c r="D690" s="656" t="s">
        <v>870</v>
      </c>
      <c r="E690" s="656" t="s">
        <v>2804</v>
      </c>
      <c r="F690" s="655">
        <v>56125</v>
      </c>
      <c r="G690" s="656" t="s">
        <v>81</v>
      </c>
      <c r="H690" s="656" t="s">
        <v>1183</v>
      </c>
      <c r="I690" s="656" t="s">
        <v>58</v>
      </c>
      <c r="J690" s="655">
        <v>22</v>
      </c>
      <c r="K690" s="655">
        <v>2</v>
      </c>
      <c r="L690" s="656" t="s">
        <v>52</v>
      </c>
      <c r="M690" s="656" t="s">
        <v>42</v>
      </c>
      <c r="N690" s="656" t="s">
        <v>402</v>
      </c>
      <c r="O690" s="656" t="s">
        <v>82</v>
      </c>
      <c r="P690" s="656" t="s">
        <v>45</v>
      </c>
      <c r="Q690" s="657">
        <v>80</v>
      </c>
      <c r="R690" s="657">
        <v>80</v>
      </c>
      <c r="S690" s="657">
        <v>1920</v>
      </c>
      <c r="T690" s="657">
        <v>1920</v>
      </c>
      <c r="U690" s="657">
        <v>56.98</v>
      </c>
      <c r="V690" s="655">
        <v>2021</v>
      </c>
      <c r="W690" s="659"/>
      <c r="X690" s="660">
        <f t="shared" si="32"/>
        <v>33.696033696033695</v>
      </c>
      <c r="Y690" s="661" t="str">
        <f t="shared" si="30"/>
        <v/>
      </c>
      <c r="Z690" s="661" t="str">
        <f t="shared" si="31"/>
        <v/>
      </c>
    </row>
    <row r="691" spans="1:26" s="128" customFormat="1" ht="25">
      <c r="A691" s="655">
        <v>50273</v>
      </c>
      <c r="B691" s="656" t="s">
        <v>33</v>
      </c>
      <c r="C691" s="655" t="s">
        <v>2793</v>
      </c>
      <c r="D691" s="656" t="s">
        <v>870</v>
      </c>
      <c r="E691" s="656" t="s">
        <v>2804</v>
      </c>
      <c r="F691" s="655">
        <v>56125</v>
      </c>
      <c r="G691" s="656" t="s">
        <v>81</v>
      </c>
      <c r="H691" s="656" t="s">
        <v>1183</v>
      </c>
      <c r="I691" s="656" t="s">
        <v>58</v>
      </c>
      <c r="J691" s="655">
        <v>22</v>
      </c>
      <c r="K691" s="655">
        <v>2</v>
      </c>
      <c r="L691" s="656" t="s">
        <v>52</v>
      </c>
      <c r="M691" s="656" t="s">
        <v>42</v>
      </c>
      <c r="N691" s="656" t="s">
        <v>69</v>
      </c>
      <c r="O691" s="656" t="s">
        <v>70</v>
      </c>
      <c r="P691" s="656" t="s">
        <v>45</v>
      </c>
      <c r="Q691" s="657">
        <v>873</v>
      </c>
      <c r="R691" s="657">
        <v>873</v>
      </c>
      <c r="S691" s="657">
        <v>9603</v>
      </c>
      <c r="T691" s="657">
        <v>9603</v>
      </c>
      <c r="U691" s="657">
        <v>284.988</v>
      </c>
      <c r="V691" s="655">
        <v>2021</v>
      </c>
      <c r="W691" s="659"/>
      <c r="X691" s="660">
        <f t="shared" si="32"/>
        <v>33.696155627605371</v>
      </c>
      <c r="Y691" s="661" t="str">
        <f t="shared" si="30"/>
        <v/>
      </c>
      <c r="Z691" s="661" t="str">
        <f t="shared" si="31"/>
        <v/>
      </c>
    </row>
    <row r="692" spans="1:26" s="128" customFormat="1" ht="25" hidden="1">
      <c r="A692" s="655">
        <v>50278</v>
      </c>
      <c r="B692" s="656" t="s">
        <v>33</v>
      </c>
      <c r="C692" s="655" t="s">
        <v>2793</v>
      </c>
      <c r="D692" s="656" t="s">
        <v>871</v>
      </c>
      <c r="E692" s="656" t="s">
        <v>3104</v>
      </c>
      <c r="F692" s="655">
        <v>57280</v>
      </c>
      <c r="G692" s="656" t="s">
        <v>90</v>
      </c>
      <c r="H692" s="656" t="s">
        <v>1183</v>
      </c>
      <c r="I692" s="656" t="s">
        <v>58</v>
      </c>
      <c r="J692" s="655">
        <v>22</v>
      </c>
      <c r="K692" s="655">
        <v>2</v>
      </c>
      <c r="L692" s="656" t="s">
        <v>52</v>
      </c>
      <c r="M692" s="656" t="s">
        <v>35</v>
      </c>
      <c r="N692" s="656" t="s">
        <v>36</v>
      </c>
      <c r="O692" s="656" t="s">
        <v>37</v>
      </c>
      <c r="P692" s="656" t="s">
        <v>1176</v>
      </c>
      <c r="Q692" s="657">
        <v>0</v>
      </c>
      <c r="R692" s="657">
        <v>0</v>
      </c>
      <c r="S692" s="657">
        <v>594444</v>
      </c>
      <c r="T692" s="657">
        <v>594444</v>
      </c>
      <c r="U692" s="657">
        <v>67222</v>
      </c>
      <c r="V692" s="655">
        <v>2021</v>
      </c>
      <c r="W692" s="659"/>
      <c r="X692" s="660">
        <f t="shared" si="32"/>
        <v>8.8429978280919936</v>
      </c>
      <c r="Y692" s="661" t="str">
        <f t="shared" si="30"/>
        <v/>
      </c>
      <c r="Z692" s="661" t="str">
        <f t="shared" si="31"/>
        <v/>
      </c>
    </row>
    <row r="693" spans="1:26" s="128" customFormat="1" hidden="1">
      <c r="A693" s="655">
        <v>50280</v>
      </c>
      <c r="B693" s="656" t="s">
        <v>33</v>
      </c>
      <c r="C693" s="655" t="s">
        <v>2793</v>
      </c>
      <c r="D693" s="656" t="s">
        <v>872</v>
      </c>
      <c r="E693" s="656" t="s">
        <v>2805</v>
      </c>
      <c r="F693" s="655">
        <v>63070</v>
      </c>
      <c r="G693" s="656" t="s">
        <v>57</v>
      </c>
      <c r="H693" s="656" t="s">
        <v>1182</v>
      </c>
      <c r="I693" s="656" t="s">
        <v>58</v>
      </c>
      <c r="J693" s="655">
        <v>22</v>
      </c>
      <c r="K693" s="655">
        <v>2</v>
      </c>
      <c r="L693" s="656" t="s">
        <v>52</v>
      </c>
      <c r="M693" s="656" t="s">
        <v>35</v>
      </c>
      <c r="N693" s="656" t="s">
        <v>36</v>
      </c>
      <c r="O693" s="656" t="s">
        <v>37</v>
      </c>
      <c r="P693" s="656" t="s">
        <v>1176</v>
      </c>
      <c r="Q693" s="657">
        <v>0</v>
      </c>
      <c r="R693" s="657">
        <v>0</v>
      </c>
      <c r="S693" s="657">
        <v>161226</v>
      </c>
      <c r="T693" s="657">
        <v>161226</v>
      </c>
      <c r="U693" s="657">
        <v>18232</v>
      </c>
      <c r="V693" s="655">
        <v>2021</v>
      </c>
      <c r="W693" s="659"/>
      <c r="X693" s="660">
        <f t="shared" si="32"/>
        <v>8.8430232558139537</v>
      </c>
      <c r="Y693" s="661" t="str">
        <f t="shared" si="30"/>
        <v/>
      </c>
      <c r="Z693" s="661" t="str">
        <f t="shared" si="31"/>
        <v/>
      </c>
    </row>
    <row r="694" spans="1:26" s="128" customFormat="1" ht="25" hidden="1">
      <c r="A694" s="655">
        <v>50285</v>
      </c>
      <c r="B694" s="656" t="s">
        <v>33</v>
      </c>
      <c r="C694" s="655" t="s">
        <v>2793</v>
      </c>
      <c r="D694" s="656" t="s">
        <v>1690</v>
      </c>
      <c r="E694" s="656" t="s">
        <v>2131</v>
      </c>
      <c r="F694" s="655">
        <v>60832</v>
      </c>
      <c r="G694" s="656" t="s">
        <v>96</v>
      </c>
      <c r="H694" s="656" t="s">
        <v>1183</v>
      </c>
      <c r="I694" s="656" t="s">
        <v>58</v>
      </c>
      <c r="J694" s="655">
        <v>22</v>
      </c>
      <c r="K694" s="655">
        <v>2</v>
      </c>
      <c r="L694" s="656" t="s">
        <v>52</v>
      </c>
      <c r="M694" s="656" t="s">
        <v>35</v>
      </c>
      <c r="N694" s="656" t="s">
        <v>36</v>
      </c>
      <c r="O694" s="656" t="s">
        <v>37</v>
      </c>
      <c r="P694" s="656" t="s">
        <v>1176</v>
      </c>
      <c r="Q694" s="657">
        <v>0</v>
      </c>
      <c r="R694" s="657">
        <v>0</v>
      </c>
      <c r="S694" s="657">
        <v>52536</v>
      </c>
      <c r="T694" s="657">
        <v>52536</v>
      </c>
      <c r="U694" s="657">
        <v>5941</v>
      </c>
      <c r="V694" s="655">
        <v>2021</v>
      </c>
      <c r="W694" s="659"/>
      <c r="X694" s="660">
        <f t="shared" si="32"/>
        <v>8.8429557313583569</v>
      </c>
      <c r="Y694" s="661" t="str">
        <f t="shared" si="30"/>
        <v/>
      </c>
      <c r="Z694" s="661" t="str">
        <f t="shared" si="31"/>
        <v/>
      </c>
    </row>
    <row r="695" spans="1:26" s="128" customFormat="1" ht="25">
      <c r="A695" s="655">
        <v>50290</v>
      </c>
      <c r="B695" s="656" t="s">
        <v>33</v>
      </c>
      <c r="C695" s="655" t="s">
        <v>2793</v>
      </c>
      <c r="D695" s="656" t="s">
        <v>0</v>
      </c>
      <c r="E695" s="656" t="s">
        <v>1</v>
      </c>
      <c r="F695" s="655">
        <v>16929</v>
      </c>
      <c r="G695" s="656" t="s">
        <v>81</v>
      </c>
      <c r="H695" s="656" t="s">
        <v>1183</v>
      </c>
      <c r="I695" s="656" t="s">
        <v>58</v>
      </c>
      <c r="J695" s="655">
        <v>22</v>
      </c>
      <c r="K695" s="655">
        <v>2</v>
      </c>
      <c r="L695" s="656" t="s">
        <v>52</v>
      </c>
      <c r="M695" s="656" t="s">
        <v>42</v>
      </c>
      <c r="N695" s="656" t="s">
        <v>46</v>
      </c>
      <c r="O695" s="656" t="s">
        <v>46</v>
      </c>
      <c r="P695" s="656" t="s">
        <v>47</v>
      </c>
      <c r="Q695" s="657">
        <v>980</v>
      </c>
      <c r="R695" s="657">
        <v>980</v>
      </c>
      <c r="S695" s="657">
        <v>5684</v>
      </c>
      <c r="T695" s="657">
        <v>5684</v>
      </c>
      <c r="U695" s="657">
        <v>311.97800000000001</v>
      </c>
      <c r="V695" s="655">
        <v>2021</v>
      </c>
      <c r="W695" s="659"/>
      <c r="X695" s="660">
        <f t="shared" si="32"/>
        <v>18.219233407483859</v>
      </c>
      <c r="Y695" s="661" t="str">
        <f t="shared" si="30"/>
        <v/>
      </c>
      <c r="Z695" s="661" t="str">
        <f t="shared" si="31"/>
        <v/>
      </c>
    </row>
    <row r="696" spans="1:26" s="128" customFormat="1" ht="25">
      <c r="A696" s="655">
        <v>50290</v>
      </c>
      <c r="B696" s="656" t="s">
        <v>33</v>
      </c>
      <c r="C696" s="655" t="s">
        <v>2793</v>
      </c>
      <c r="D696" s="656" t="s">
        <v>0</v>
      </c>
      <c r="E696" s="656" t="s">
        <v>1</v>
      </c>
      <c r="F696" s="655">
        <v>16929</v>
      </c>
      <c r="G696" s="656" t="s">
        <v>81</v>
      </c>
      <c r="H696" s="656" t="s">
        <v>1183</v>
      </c>
      <c r="I696" s="656" t="s">
        <v>58</v>
      </c>
      <c r="J696" s="655">
        <v>22</v>
      </c>
      <c r="K696" s="655">
        <v>2</v>
      </c>
      <c r="L696" s="656" t="s">
        <v>52</v>
      </c>
      <c r="M696" s="656" t="s">
        <v>42</v>
      </c>
      <c r="N696" s="656" t="s">
        <v>16</v>
      </c>
      <c r="O696" s="656" t="s">
        <v>64</v>
      </c>
      <c r="P696" s="656" t="s">
        <v>45</v>
      </c>
      <c r="Q696" s="657">
        <v>652231</v>
      </c>
      <c r="R696" s="657">
        <v>652231</v>
      </c>
      <c r="S696" s="657">
        <v>4811509</v>
      </c>
      <c r="T696" s="657">
        <v>4811509</v>
      </c>
      <c r="U696" s="657">
        <v>264571.05</v>
      </c>
      <c r="V696" s="655">
        <v>2021</v>
      </c>
      <c r="W696" s="659"/>
      <c r="X696" s="660">
        <f t="shared" si="32"/>
        <v>18.186075158260891</v>
      </c>
      <c r="Y696" s="661" t="str">
        <f t="shared" si="30"/>
        <v/>
      </c>
      <c r="Z696" s="661" t="str">
        <f t="shared" si="31"/>
        <v/>
      </c>
    </row>
    <row r="697" spans="1:26" s="128" customFormat="1" ht="25">
      <c r="A697" s="655">
        <v>50290</v>
      </c>
      <c r="B697" s="656" t="s">
        <v>33</v>
      </c>
      <c r="C697" s="655" t="s">
        <v>2793</v>
      </c>
      <c r="D697" s="656" t="s">
        <v>0</v>
      </c>
      <c r="E697" s="656" t="s">
        <v>1</v>
      </c>
      <c r="F697" s="655">
        <v>16929</v>
      </c>
      <c r="G697" s="656" t="s">
        <v>81</v>
      </c>
      <c r="H697" s="656" t="s">
        <v>1183</v>
      </c>
      <c r="I697" s="656" t="s">
        <v>58</v>
      </c>
      <c r="J697" s="655">
        <v>22</v>
      </c>
      <c r="K697" s="655">
        <v>2</v>
      </c>
      <c r="L697" s="656" t="s">
        <v>52</v>
      </c>
      <c r="M697" s="656" t="s">
        <v>42</v>
      </c>
      <c r="N697" s="656" t="s">
        <v>17</v>
      </c>
      <c r="O697" s="656" t="s">
        <v>82</v>
      </c>
      <c r="P697" s="656" t="s">
        <v>45</v>
      </c>
      <c r="Q697" s="657">
        <v>416999</v>
      </c>
      <c r="R697" s="657">
        <v>416999</v>
      </c>
      <c r="S697" s="657">
        <v>5880866</v>
      </c>
      <c r="T697" s="657">
        <v>5880866</v>
      </c>
      <c r="U697" s="657">
        <v>323372.18</v>
      </c>
      <c r="V697" s="655">
        <v>2021</v>
      </c>
      <c r="W697" s="659"/>
      <c r="X697" s="660">
        <f t="shared" si="32"/>
        <v>18.186060408783465</v>
      </c>
      <c r="Y697" s="661" t="str">
        <f t="shared" si="30"/>
        <v/>
      </c>
      <c r="Z697" s="661" t="str">
        <f t="shared" si="31"/>
        <v/>
      </c>
    </row>
    <row r="698" spans="1:26" s="128" customFormat="1" ht="25">
      <c r="A698" s="655">
        <v>50290</v>
      </c>
      <c r="B698" s="656" t="s">
        <v>33</v>
      </c>
      <c r="C698" s="655" t="s">
        <v>2793</v>
      </c>
      <c r="D698" s="656" t="s">
        <v>0</v>
      </c>
      <c r="E698" s="656" t="s">
        <v>1</v>
      </c>
      <c r="F698" s="655">
        <v>16929</v>
      </c>
      <c r="G698" s="656" t="s">
        <v>81</v>
      </c>
      <c r="H698" s="656" t="s">
        <v>1183</v>
      </c>
      <c r="I698" s="656" t="s">
        <v>58</v>
      </c>
      <c r="J698" s="655">
        <v>22</v>
      </c>
      <c r="K698" s="655">
        <v>2</v>
      </c>
      <c r="L698" s="656" t="s">
        <v>52</v>
      </c>
      <c r="M698" s="656" t="s">
        <v>42</v>
      </c>
      <c r="N698" s="656" t="s">
        <v>39</v>
      </c>
      <c r="O698" s="656" t="s">
        <v>39</v>
      </c>
      <c r="P698" s="656" t="s">
        <v>1037</v>
      </c>
      <c r="Q698" s="657">
        <v>87647</v>
      </c>
      <c r="R698" s="657">
        <v>87647</v>
      </c>
      <c r="S698" s="657">
        <v>87647</v>
      </c>
      <c r="T698" s="657">
        <v>87647</v>
      </c>
      <c r="U698" s="657">
        <v>4817.7969999999996</v>
      </c>
      <c r="V698" s="655">
        <v>2021</v>
      </c>
      <c r="W698" s="659"/>
      <c r="X698" s="660">
        <f t="shared" si="32"/>
        <v>18.192339776873123</v>
      </c>
      <c r="Y698" s="661" t="str">
        <f t="shared" si="30"/>
        <v/>
      </c>
      <c r="Z698" s="661" t="str">
        <f t="shared" si="31"/>
        <v/>
      </c>
    </row>
    <row r="699" spans="1:26" s="128" customFormat="1" hidden="1">
      <c r="A699" s="655">
        <v>50292</v>
      </c>
      <c r="B699" s="656" t="s">
        <v>33</v>
      </c>
      <c r="C699" s="655" t="s">
        <v>2793</v>
      </c>
      <c r="D699" s="656" t="s">
        <v>2</v>
      </c>
      <c r="E699" s="656" t="s">
        <v>3</v>
      </c>
      <c r="F699" s="655">
        <v>24457</v>
      </c>
      <c r="G699" s="656" t="s">
        <v>57</v>
      </c>
      <c r="H699" s="656" t="s">
        <v>1182</v>
      </c>
      <c r="I699" s="656" t="s">
        <v>58</v>
      </c>
      <c r="J699" s="655">
        <v>22</v>
      </c>
      <c r="K699" s="655">
        <v>2</v>
      </c>
      <c r="L699" s="656" t="s">
        <v>52</v>
      </c>
      <c r="M699" s="656" t="s">
        <v>38</v>
      </c>
      <c r="N699" s="656" t="s">
        <v>46</v>
      </c>
      <c r="O699" s="656" t="s">
        <v>46</v>
      </c>
      <c r="P699" s="656" t="s">
        <v>47</v>
      </c>
      <c r="Q699" s="657">
        <v>0</v>
      </c>
      <c r="R699" s="657">
        <v>0</v>
      </c>
      <c r="S699" s="657">
        <v>0</v>
      </c>
      <c r="T699" s="657">
        <v>0</v>
      </c>
      <c r="U699" s="657">
        <v>0</v>
      </c>
      <c r="V699" s="655">
        <v>2021</v>
      </c>
      <c r="W699" s="659" t="s">
        <v>3675</v>
      </c>
      <c r="X699" s="660" t="str">
        <f t="shared" si="32"/>
        <v/>
      </c>
      <c r="Y699" s="661" t="str">
        <f t="shared" si="30"/>
        <v/>
      </c>
      <c r="Z699" s="661" t="str">
        <f t="shared" si="31"/>
        <v/>
      </c>
    </row>
    <row r="700" spans="1:26" s="128" customFormat="1" hidden="1">
      <c r="A700" s="655">
        <v>50292</v>
      </c>
      <c r="B700" s="656" t="s">
        <v>33</v>
      </c>
      <c r="C700" s="655" t="s">
        <v>2793</v>
      </c>
      <c r="D700" s="656" t="s">
        <v>2</v>
      </c>
      <c r="E700" s="656" t="s">
        <v>3</v>
      </c>
      <c r="F700" s="655">
        <v>24457</v>
      </c>
      <c r="G700" s="656" t="s">
        <v>57</v>
      </c>
      <c r="H700" s="656" t="s">
        <v>1182</v>
      </c>
      <c r="I700" s="656" t="s">
        <v>58</v>
      </c>
      <c r="J700" s="655">
        <v>22</v>
      </c>
      <c r="K700" s="655">
        <v>2</v>
      </c>
      <c r="L700" s="656" t="s">
        <v>52</v>
      </c>
      <c r="M700" s="656" t="s">
        <v>38</v>
      </c>
      <c r="N700" s="656" t="s">
        <v>39</v>
      </c>
      <c r="O700" s="656" t="s">
        <v>39</v>
      </c>
      <c r="P700" s="656" t="s">
        <v>1037</v>
      </c>
      <c r="Q700" s="657">
        <v>429422</v>
      </c>
      <c r="R700" s="657">
        <v>429422</v>
      </c>
      <c r="S700" s="657">
        <v>442039</v>
      </c>
      <c r="T700" s="657">
        <v>442039</v>
      </c>
      <c r="U700" s="657">
        <v>123835</v>
      </c>
      <c r="V700" s="655">
        <v>2021</v>
      </c>
      <c r="W700" s="659" t="s">
        <v>3675</v>
      </c>
      <c r="X700" s="660">
        <f t="shared" si="32"/>
        <v>3.5695804901683692</v>
      </c>
      <c r="Y700" s="661" t="str">
        <f t="shared" si="30"/>
        <v/>
      </c>
      <c r="Z700" s="661" t="str">
        <f t="shared" si="31"/>
        <v/>
      </c>
    </row>
    <row r="701" spans="1:26" s="128" customFormat="1" hidden="1">
      <c r="A701" s="655">
        <v>50292</v>
      </c>
      <c r="B701" s="656" t="s">
        <v>33</v>
      </c>
      <c r="C701" s="655" t="s">
        <v>2793</v>
      </c>
      <c r="D701" s="656" t="s">
        <v>2</v>
      </c>
      <c r="E701" s="656" t="s">
        <v>3</v>
      </c>
      <c r="F701" s="655">
        <v>24457</v>
      </c>
      <c r="G701" s="656" t="s">
        <v>57</v>
      </c>
      <c r="H701" s="656" t="s">
        <v>1182</v>
      </c>
      <c r="I701" s="656" t="s">
        <v>58</v>
      </c>
      <c r="J701" s="655">
        <v>22</v>
      </c>
      <c r="K701" s="655">
        <v>2</v>
      </c>
      <c r="L701" s="656" t="s">
        <v>52</v>
      </c>
      <c r="M701" s="656" t="s">
        <v>41</v>
      </c>
      <c r="N701" s="656" t="s">
        <v>46</v>
      </c>
      <c r="O701" s="656" t="s">
        <v>46</v>
      </c>
      <c r="P701" s="656" t="s">
        <v>47</v>
      </c>
      <c r="Q701" s="657">
        <v>0</v>
      </c>
      <c r="R701" s="657">
        <v>0</v>
      </c>
      <c r="S701" s="657">
        <v>0</v>
      </c>
      <c r="T701" s="657">
        <v>0</v>
      </c>
      <c r="U701" s="657">
        <v>0</v>
      </c>
      <c r="V701" s="655">
        <v>2021</v>
      </c>
      <c r="W701" s="659" t="s">
        <v>3675</v>
      </c>
      <c r="X701" s="660" t="str">
        <f t="shared" si="32"/>
        <v/>
      </c>
      <c r="Y701" s="661" t="str">
        <f t="shared" si="30"/>
        <v/>
      </c>
      <c r="Z701" s="661" t="str">
        <f t="shared" si="31"/>
        <v/>
      </c>
    </row>
    <row r="702" spans="1:26" s="128" customFormat="1" hidden="1">
      <c r="A702" s="655">
        <v>50292</v>
      </c>
      <c r="B702" s="656" t="s">
        <v>33</v>
      </c>
      <c r="C702" s="655" t="s">
        <v>2793</v>
      </c>
      <c r="D702" s="656" t="s">
        <v>2</v>
      </c>
      <c r="E702" s="656" t="s">
        <v>3</v>
      </c>
      <c r="F702" s="655">
        <v>24457</v>
      </c>
      <c r="G702" s="656" t="s">
        <v>57</v>
      </c>
      <c r="H702" s="656" t="s">
        <v>1182</v>
      </c>
      <c r="I702" s="656" t="s">
        <v>58</v>
      </c>
      <c r="J702" s="655">
        <v>22</v>
      </c>
      <c r="K702" s="655">
        <v>2</v>
      </c>
      <c r="L702" s="656" t="s">
        <v>52</v>
      </c>
      <c r="M702" s="656" t="s">
        <v>41</v>
      </c>
      <c r="N702" s="656" t="s">
        <v>39</v>
      </c>
      <c r="O702" s="656" t="s">
        <v>39</v>
      </c>
      <c r="P702" s="656" t="s">
        <v>1037</v>
      </c>
      <c r="Q702" s="657">
        <v>4043778</v>
      </c>
      <c r="R702" s="657">
        <v>4043778</v>
      </c>
      <c r="S702" s="657">
        <v>4163073</v>
      </c>
      <c r="T702" s="657">
        <v>4163073</v>
      </c>
      <c r="U702" s="657">
        <v>385781</v>
      </c>
      <c r="V702" s="655">
        <v>2021</v>
      </c>
      <c r="W702" s="659" t="s">
        <v>3675</v>
      </c>
      <c r="X702" s="660">
        <f t="shared" si="32"/>
        <v>10.791285729468273</v>
      </c>
      <c r="Y702" s="661" t="str">
        <f t="shared" si="30"/>
        <v/>
      </c>
      <c r="Z702" s="661" t="str">
        <f t="shared" si="31"/>
        <v/>
      </c>
    </row>
    <row r="703" spans="1:26" s="128" customFormat="1" hidden="1">
      <c r="A703" s="655">
        <v>50292</v>
      </c>
      <c r="B703" s="656" t="s">
        <v>33</v>
      </c>
      <c r="C703" s="655" t="s">
        <v>2793</v>
      </c>
      <c r="D703" s="656" t="s">
        <v>2</v>
      </c>
      <c r="E703" s="656" t="s">
        <v>3</v>
      </c>
      <c r="F703" s="655">
        <v>24457</v>
      </c>
      <c r="G703" s="656" t="s">
        <v>57</v>
      </c>
      <c r="H703" s="656" t="s">
        <v>1182</v>
      </c>
      <c r="I703" s="656" t="s">
        <v>58</v>
      </c>
      <c r="J703" s="655">
        <v>22</v>
      </c>
      <c r="K703" s="655">
        <v>2</v>
      </c>
      <c r="L703" s="656" t="s">
        <v>52</v>
      </c>
      <c r="M703" s="656" t="s">
        <v>50</v>
      </c>
      <c r="N703" s="656" t="s">
        <v>39</v>
      </c>
      <c r="O703" s="656" t="s">
        <v>39</v>
      </c>
      <c r="P703" s="656" t="s">
        <v>1037</v>
      </c>
      <c r="Q703" s="657">
        <v>1714740</v>
      </c>
      <c r="R703" s="657">
        <v>1714740</v>
      </c>
      <c r="S703" s="657">
        <v>1766181</v>
      </c>
      <c r="T703" s="657">
        <v>1766181</v>
      </c>
      <c r="U703" s="657">
        <v>171579</v>
      </c>
      <c r="V703" s="655">
        <v>2021</v>
      </c>
      <c r="W703" s="659" t="s">
        <v>3675</v>
      </c>
      <c r="X703" s="660">
        <f t="shared" si="32"/>
        <v>10.293689787211722</v>
      </c>
      <c r="Y703" s="661" t="str">
        <f t="shared" si="30"/>
        <v/>
      </c>
      <c r="Z703" s="661" t="str">
        <f t="shared" si="31"/>
        <v/>
      </c>
    </row>
    <row r="704" spans="1:26" s="128" customFormat="1" hidden="1">
      <c r="A704" s="655">
        <v>50292</v>
      </c>
      <c r="B704" s="656" t="s">
        <v>33</v>
      </c>
      <c r="C704" s="655" t="s">
        <v>2793</v>
      </c>
      <c r="D704" s="656" t="s">
        <v>2</v>
      </c>
      <c r="E704" s="656" t="s">
        <v>3</v>
      </c>
      <c r="F704" s="655">
        <v>24457</v>
      </c>
      <c r="G704" s="656" t="s">
        <v>57</v>
      </c>
      <c r="H704" s="656" t="s">
        <v>1182</v>
      </c>
      <c r="I704" s="656" t="s">
        <v>58</v>
      </c>
      <c r="J704" s="655">
        <v>22</v>
      </c>
      <c r="K704" s="655">
        <v>2</v>
      </c>
      <c r="L704" s="656" t="s">
        <v>52</v>
      </c>
      <c r="M704" s="656" t="s">
        <v>51</v>
      </c>
      <c r="N704" s="656" t="s">
        <v>46</v>
      </c>
      <c r="O704" s="656" t="s">
        <v>46</v>
      </c>
      <c r="P704" s="656" t="s">
        <v>47</v>
      </c>
      <c r="Q704" s="657">
        <v>0</v>
      </c>
      <c r="R704" s="657">
        <v>0</v>
      </c>
      <c r="S704" s="657">
        <v>0</v>
      </c>
      <c r="T704" s="657">
        <v>0</v>
      </c>
      <c r="U704" s="657">
        <v>0</v>
      </c>
      <c r="V704" s="655">
        <v>2021</v>
      </c>
      <c r="W704" s="659"/>
      <c r="X704" s="660" t="str">
        <f t="shared" si="32"/>
        <v/>
      </c>
      <c r="Y704" s="661" t="str">
        <f t="shared" si="30"/>
        <v/>
      </c>
      <c r="Z704" s="661" t="str">
        <f t="shared" si="31"/>
        <v/>
      </c>
    </row>
    <row r="705" spans="1:26" s="128" customFormat="1" ht="25" hidden="1">
      <c r="A705" s="655">
        <v>50312</v>
      </c>
      <c r="B705" s="656" t="s">
        <v>33</v>
      </c>
      <c r="C705" s="655" t="s">
        <v>2793</v>
      </c>
      <c r="D705" s="656" t="s">
        <v>873</v>
      </c>
      <c r="E705" s="656" t="s">
        <v>3104</v>
      </c>
      <c r="F705" s="655">
        <v>57280</v>
      </c>
      <c r="G705" s="656" t="s">
        <v>96</v>
      </c>
      <c r="H705" s="656" t="s">
        <v>1183</v>
      </c>
      <c r="I705" s="656" t="s">
        <v>58</v>
      </c>
      <c r="J705" s="655">
        <v>22</v>
      </c>
      <c r="K705" s="655">
        <v>2</v>
      </c>
      <c r="L705" s="656" t="s">
        <v>52</v>
      </c>
      <c r="M705" s="656" t="s">
        <v>35</v>
      </c>
      <c r="N705" s="656" t="s">
        <v>36</v>
      </c>
      <c r="O705" s="656" t="s">
        <v>37</v>
      </c>
      <c r="P705" s="656" t="s">
        <v>1176</v>
      </c>
      <c r="Q705" s="657">
        <v>0</v>
      </c>
      <c r="R705" s="657">
        <v>0</v>
      </c>
      <c r="S705" s="657">
        <v>82292</v>
      </c>
      <c r="T705" s="657">
        <v>82292</v>
      </c>
      <c r="U705" s="657">
        <v>9306</v>
      </c>
      <c r="V705" s="655">
        <v>2021</v>
      </c>
      <c r="W705" s="659"/>
      <c r="X705" s="660">
        <f t="shared" si="32"/>
        <v>8.8428970556630127</v>
      </c>
      <c r="Y705" s="661" t="str">
        <f t="shared" si="30"/>
        <v/>
      </c>
      <c r="Z705" s="661" t="str">
        <f t="shared" si="31"/>
        <v/>
      </c>
    </row>
    <row r="706" spans="1:26" s="128" customFormat="1" ht="25" hidden="1">
      <c r="A706" s="655">
        <v>50315</v>
      </c>
      <c r="B706" s="656" t="s">
        <v>33</v>
      </c>
      <c r="C706" s="655" t="s">
        <v>2793</v>
      </c>
      <c r="D706" s="656" t="s">
        <v>874</v>
      </c>
      <c r="E706" s="656" t="s">
        <v>1905</v>
      </c>
      <c r="F706" s="655">
        <v>24979</v>
      </c>
      <c r="G706" s="656" t="s">
        <v>57</v>
      </c>
      <c r="H706" s="656" t="s">
        <v>1182</v>
      </c>
      <c r="I706" s="656" t="s">
        <v>58</v>
      </c>
      <c r="J706" s="655">
        <v>22</v>
      </c>
      <c r="K706" s="655">
        <v>2</v>
      </c>
      <c r="L706" s="656" t="s">
        <v>52</v>
      </c>
      <c r="M706" s="656" t="s">
        <v>35</v>
      </c>
      <c r="N706" s="656" t="s">
        <v>36</v>
      </c>
      <c r="O706" s="656" t="s">
        <v>37</v>
      </c>
      <c r="P706" s="656" t="s">
        <v>1176</v>
      </c>
      <c r="Q706" s="657">
        <v>0</v>
      </c>
      <c r="R706" s="657">
        <v>0</v>
      </c>
      <c r="S706" s="657">
        <v>0</v>
      </c>
      <c r="T706" s="657">
        <v>0</v>
      </c>
      <c r="U706" s="657">
        <v>0</v>
      </c>
      <c r="V706" s="655">
        <v>2021</v>
      </c>
      <c r="W706" s="659"/>
      <c r="X706" s="660" t="str">
        <f t="shared" si="32"/>
        <v/>
      </c>
      <c r="Y706" s="661" t="str">
        <f t="shared" si="30"/>
        <v/>
      </c>
      <c r="Z706" s="661" t="str">
        <f t="shared" si="31"/>
        <v/>
      </c>
    </row>
    <row r="707" spans="1:26" s="128" customFormat="1" ht="25" hidden="1">
      <c r="A707" s="655">
        <v>50324</v>
      </c>
      <c r="B707" s="656" t="s">
        <v>33</v>
      </c>
      <c r="C707" s="655" t="s">
        <v>2793</v>
      </c>
      <c r="D707" s="656" t="s">
        <v>875</v>
      </c>
      <c r="E707" s="656" t="s">
        <v>3104</v>
      </c>
      <c r="F707" s="655">
        <v>57280</v>
      </c>
      <c r="G707" s="656" t="s">
        <v>96</v>
      </c>
      <c r="H707" s="656" t="s">
        <v>1183</v>
      </c>
      <c r="I707" s="656" t="s">
        <v>58</v>
      </c>
      <c r="J707" s="655">
        <v>22</v>
      </c>
      <c r="K707" s="655">
        <v>2</v>
      </c>
      <c r="L707" s="656" t="s">
        <v>52</v>
      </c>
      <c r="M707" s="656" t="s">
        <v>35</v>
      </c>
      <c r="N707" s="656" t="s">
        <v>36</v>
      </c>
      <c r="O707" s="656" t="s">
        <v>37</v>
      </c>
      <c r="P707" s="656" t="s">
        <v>1176</v>
      </c>
      <c r="Q707" s="657">
        <v>0</v>
      </c>
      <c r="R707" s="657">
        <v>0</v>
      </c>
      <c r="S707" s="657">
        <v>42914</v>
      </c>
      <c r="T707" s="657">
        <v>42914</v>
      </c>
      <c r="U707" s="657">
        <v>4853</v>
      </c>
      <c r="V707" s="655">
        <v>2021</v>
      </c>
      <c r="W707" s="659"/>
      <c r="X707" s="660">
        <f t="shared" si="32"/>
        <v>8.8427776633010513</v>
      </c>
      <c r="Y707" s="661" t="str">
        <f t="shared" si="30"/>
        <v/>
      </c>
      <c r="Z707" s="661" t="str">
        <f t="shared" si="31"/>
        <v/>
      </c>
    </row>
    <row r="708" spans="1:26" s="128" customFormat="1" hidden="1">
      <c r="A708" s="655">
        <v>50351</v>
      </c>
      <c r="B708" s="656" t="s">
        <v>33</v>
      </c>
      <c r="C708" s="655" t="s">
        <v>2793</v>
      </c>
      <c r="D708" s="656" t="s">
        <v>876</v>
      </c>
      <c r="E708" s="656" t="s">
        <v>877</v>
      </c>
      <c r="F708" s="655">
        <v>24793</v>
      </c>
      <c r="G708" s="656" t="s">
        <v>96</v>
      </c>
      <c r="H708" s="656" t="s">
        <v>1183</v>
      </c>
      <c r="I708" s="656" t="s">
        <v>58</v>
      </c>
      <c r="J708" s="655">
        <v>22</v>
      </c>
      <c r="K708" s="655">
        <v>2</v>
      </c>
      <c r="L708" s="656" t="s">
        <v>52</v>
      </c>
      <c r="M708" s="656" t="s">
        <v>35</v>
      </c>
      <c r="N708" s="656" t="s">
        <v>36</v>
      </c>
      <c r="O708" s="656" t="s">
        <v>37</v>
      </c>
      <c r="P708" s="656" t="s">
        <v>1176</v>
      </c>
      <c r="Q708" s="657">
        <v>0</v>
      </c>
      <c r="R708" s="657">
        <v>0</v>
      </c>
      <c r="S708" s="657">
        <v>205281</v>
      </c>
      <c r="T708" s="657">
        <v>205281</v>
      </c>
      <c r="U708" s="657">
        <v>23214</v>
      </c>
      <c r="V708" s="655">
        <v>2021</v>
      </c>
      <c r="W708" s="659"/>
      <c r="X708" s="660">
        <f t="shared" si="32"/>
        <v>8.8429826828637896</v>
      </c>
      <c r="Y708" s="661" t="str">
        <f t="shared" si="30"/>
        <v/>
      </c>
      <c r="Z708" s="661" t="str">
        <f t="shared" si="31"/>
        <v/>
      </c>
    </row>
    <row r="709" spans="1:26" s="128" customFormat="1" hidden="1">
      <c r="A709" s="655">
        <v>50353</v>
      </c>
      <c r="B709" s="656" t="s">
        <v>33</v>
      </c>
      <c r="C709" s="655" t="s">
        <v>2793</v>
      </c>
      <c r="D709" s="656" t="s">
        <v>878</v>
      </c>
      <c r="E709" s="656" t="s">
        <v>877</v>
      </c>
      <c r="F709" s="655">
        <v>24793</v>
      </c>
      <c r="G709" s="656" t="s">
        <v>96</v>
      </c>
      <c r="H709" s="656" t="s">
        <v>1183</v>
      </c>
      <c r="I709" s="656" t="s">
        <v>58</v>
      </c>
      <c r="J709" s="655">
        <v>22</v>
      </c>
      <c r="K709" s="655">
        <v>2</v>
      </c>
      <c r="L709" s="656" t="s">
        <v>52</v>
      </c>
      <c r="M709" s="656" t="s">
        <v>35</v>
      </c>
      <c r="N709" s="656" t="s">
        <v>36</v>
      </c>
      <c r="O709" s="656" t="s">
        <v>37</v>
      </c>
      <c r="P709" s="656" t="s">
        <v>1176</v>
      </c>
      <c r="Q709" s="657">
        <v>0</v>
      </c>
      <c r="R709" s="657">
        <v>0</v>
      </c>
      <c r="S709" s="657">
        <v>207668</v>
      </c>
      <c r="T709" s="657">
        <v>207668</v>
      </c>
      <c r="U709" s="657">
        <v>23484</v>
      </c>
      <c r="V709" s="655">
        <v>2021</v>
      </c>
      <c r="W709" s="659"/>
      <c r="X709" s="660">
        <f t="shared" si="32"/>
        <v>8.8429569068301817</v>
      </c>
      <c r="Y709" s="661" t="str">
        <f t="shared" si="30"/>
        <v/>
      </c>
      <c r="Z709" s="661" t="str">
        <f t="shared" si="31"/>
        <v/>
      </c>
    </row>
    <row r="710" spans="1:26" s="128" customFormat="1" ht="25" hidden="1">
      <c r="A710" s="655">
        <v>50354</v>
      </c>
      <c r="B710" s="656" t="s">
        <v>33</v>
      </c>
      <c r="C710" s="655" t="s">
        <v>2793</v>
      </c>
      <c r="D710" s="656" t="s">
        <v>879</v>
      </c>
      <c r="E710" s="656" t="s">
        <v>3104</v>
      </c>
      <c r="F710" s="655">
        <v>57280</v>
      </c>
      <c r="G710" s="656" t="s">
        <v>57</v>
      </c>
      <c r="H710" s="656" t="s">
        <v>1182</v>
      </c>
      <c r="I710" s="656" t="s">
        <v>58</v>
      </c>
      <c r="J710" s="655">
        <v>22</v>
      </c>
      <c r="K710" s="655">
        <v>2</v>
      </c>
      <c r="L710" s="656" t="s">
        <v>52</v>
      </c>
      <c r="M710" s="656" t="s">
        <v>35</v>
      </c>
      <c r="N710" s="656" t="s">
        <v>36</v>
      </c>
      <c r="O710" s="656" t="s">
        <v>37</v>
      </c>
      <c r="P710" s="656" t="s">
        <v>1176</v>
      </c>
      <c r="Q710" s="657">
        <v>0</v>
      </c>
      <c r="R710" s="657">
        <v>0</v>
      </c>
      <c r="S710" s="657">
        <v>59857</v>
      </c>
      <c r="T710" s="657">
        <v>59857</v>
      </c>
      <c r="U710" s="657">
        <v>6769</v>
      </c>
      <c r="V710" s="655">
        <v>2021</v>
      </c>
      <c r="W710" s="659"/>
      <c r="X710" s="660">
        <f t="shared" si="32"/>
        <v>8.8428128231644259</v>
      </c>
      <c r="Y710" s="661" t="str">
        <f t="shared" si="30"/>
        <v/>
      </c>
      <c r="Z710" s="661" t="str">
        <f t="shared" si="31"/>
        <v/>
      </c>
    </row>
    <row r="711" spans="1:26" s="128" customFormat="1" ht="25" hidden="1">
      <c r="A711" s="655">
        <v>50365</v>
      </c>
      <c r="B711" s="656" t="s">
        <v>33</v>
      </c>
      <c r="C711" s="655" t="s">
        <v>2793</v>
      </c>
      <c r="D711" s="656" t="s">
        <v>880</v>
      </c>
      <c r="E711" s="656" t="s">
        <v>1057</v>
      </c>
      <c r="F711" s="655">
        <v>56889</v>
      </c>
      <c r="G711" s="656" t="s">
        <v>131</v>
      </c>
      <c r="H711" s="656" t="s">
        <v>1183</v>
      </c>
      <c r="I711" s="656" t="s">
        <v>58</v>
      </c>
      <c r="J711" s="655">
        <v>22</v>
      </c>
      <c r="K711" s="655">
        <v>2</v>
      </c>
      <c r="L711" s="656" t="s">
        <v>52</v>
      </c>
      <c r="M711" s="656" t="s">
        <v>51</v>
      </c>
      <c r="N711" s="656" t="s">
        <v>63</v>
      </c>
      <c r="O711" s="656" t="s">
        <v>64</v>
      </c>
      <c r="P711" s="656" t="s">
        <v>1037</v>
      </c>
      <c r="Q711" s="657">
        <v>0</v>
      </c>
      <c r="R711" s="657">
        <v>0</v>
      </c>
      <c r="S711" s="657">
        <v>0</v>
      </c>
      <c r="T711" s="657">
        <v>0</v>
      </c>
      <c r="U711" s="657">
        <v>0</v>
      </c>
      <c r="V711" s="655">
        <v>2021</v>
      </c>
      <c r="W711" s="659"/>
      <c r="X711" s="660" t="str">
        <f t="shared" si="32"/>
        <v/>
      </c>
      <c r="Y711" s="661" t="str">
        <f t="shared" ref="Y711:Y774" si="33">IF(AND($M711=$Y$2,$N711=$Y$3,NOT($Q711=$R711),NOT($U711=0)),IF($K711=5,$S711/($U711+(8/5)*$U711),IF($K711=7,$S711/($U711+(29/25)*$U711),"")),"")</f>
        <v/>
      </c>
      <c r="Z711" s="661" t="str">
        <f t="shared" ref="Z711:Z774" si="34">IF(AND($M711=$Y$2,$N711=$Y$4,NOT($Q711=$R711),NOT($U711=0)),IF($K711=5,$S711/($U711+(8/5)*$U711),IF($K711=7,$S711/($U711+(29/25)*$U711),"")),"")</f>
        <v/>
      </c>
    </row>
    <row r="712" spans="1:26" s="128" customFormat="1" ht="25" hidden="1">
      <c r="A712" s="655">
        <v>50368</v>
      </c>
      <c r="B712" s="656" t="s">
        <v>54</v>
      </c>
      <c r="C712" s="655" t="s">
        <v>2793</v>
      </c>
      <c r="D712" s="656" t="s">
        <v>420</v>
      </c>
      <c r="E712" s="656" t="s">
        <v>421</v>
      </c>
      <c r="F712" s="655">
        <v>21508</v>
      </c>
      <c r="G712" s="656" t="s">
        <v>57</v>
      </c>
      <c r="H712" s="656" t="s">
        <v>1182</v>
      </c>
      <c r="I712" s="656" t="s">
        <v>58</v>
      </c>
      <c r="J712" s="655">
        <v>611</v>
      </c>
      <c r="K712" s="655">
        <v>5</v>
      </c>
      <c r="L712" s="656" t="s">
        <v>413</v>
      </c>
      <c r="M712" s="656" t="s">
        <v>38</v>
      </c>
      <c r="N712" s="656" t="s">
        <v>46</v>
      </c>
      <c r="O712" s="656" t="s">
        <v>46</v>
      </c>
      <c r="P712" s="656" t="s">
        <v>47</v>
      </c>
      <c r="Q712" s="657">
        <v>276</v>
      </c>
      <c r="R712" s="657">
        <v>15</v>
      </c>
      <c r="S712" s="657">
        <v>1573</v>
      </c>
      <c r="T712" s="657">
        <v>80</v>
      </c>
      <c r="U712" s="657">
        <v>17.361000000000001</v>
      </c>
      <c r="V712" s="655">
        <v>2021</v>
      </c>
      <c r="W712" s="659"/>
      <c r="X712" s="660" t="str">
        <f t="shared" ref="X712:X775" si="35">IF(OR(K712&gt;3,T712=0,NOT(U712&gt;0)),"",T712/U712)</f>
        <v/>
      </c>
      <c r="Y712" s="661" t="str">
        <f t="shared" si="33"/>
        <v/>
      </c>
      <c r="Z712" s="661" t="str">
        <f t="shared" si="34"/>
        <v/>
      </c>
    </row>
    <row r="713" spans="1:26" s="128" customFormat="1" ht="25" hidden="1">
      <c r="A713" s="655">
        <v>50368</v>
      </c>
      <c r="B713" s="656" t="s">
        <v>54</v>
      </c>
      <c r="C713" s="655" t="s">
        <v>2793</v>
      </c>
      <c r="D713" s="656" t="s">
        <v>420</v>
      </c>
      <c r="E713" s="656" t="s">
        <v>421</v>
      </c>
      <c r="F713" s="655">
        <v>21508</v>
      </c>
      <c r="G713" s="656" t="s">
        <v>57</v>
      </c>
      <c r="H713" s="656" t="s">
        <v>1182</v>
      </c>
      <c r="I713" s="656" t="s">
        <v>58</v>
      </c>
      <c r="J713" s="655">
        <v>611</v>
      </c>
      <c r="K713" s="655">
        <v>5</v>
      </c>
      <c r="L713" s="656" t="s">
        <v>413</v>
      </c>
      <c r="M713" s="656" t="s">
        <v>38</v>
      </c>
      <c r="N713" s="656" t="s">
        <v>39</v>
      </c>
      <c r="O713" s="656" t="s">
        <v>39</v>
      </c>
      <c r="P713" s="656" t="s">
        <v>1037</v>
      </c>
      <c r="Q713" s="657">
        <v>420909</v>
      </c>
      <c r="R713" s="657">
        <v>121950</v>
      </c>
      <c r="S713" s="657">
        <v>433536</v>
      </c>
      <c r="T713" s="657">
        <v>125610</v>
      </c>
      <c r="U713" s="657">
        <v>27610.638999999999</v>
      </c>
      <c r="V713" s="655">
        <v>2021</v>
      </c>
      <c r="W713" s="659"/>
      <c r="X713" s="660" t="str">
        <f t="shared" si="35"/>
        <v/>
      </c>
      <c r="Y713" s="661" t="str">
        <f t="shared" si="33"/>
        <v/>
      </c>
      <c r="Z713" s="661" t="str">
        <f t="shared" si="34"/>
        <v/>
      </c>
    </row>
    <row r="714" spans="1:26" s="128" customFormat="1" ht="25" hidden="1">
      <c r="A714" s="655">
        <v>50368</v>
      </c>
      <c r="B714" s="656" t="s">
        <v>54</v>
      </c>
      <c r="C714" s="655" t="s">
        <v>2793</v>
      </c>
      <c r="D714" s="656" t="s">
        <v>420</v>
      </c>
      <c r="E714" s="656" t="s">
        <v>421</v>
      </c>
      <c r="F714" s="655">
        <v>21508</v>
      </c>
      <c r="G714" s="656" t="s">
        <v>57</v>
      </c>
      <c r="H714" s="656" t="s">
        <v>1182</v>
      </c>
      <c r="I714" s="656" t="s">
        <v>58</v>
      </c>
      <c r="J714" s="655">
        <v>611</v>
      </c>
      <c r="K714" s="655">
        <v>5</v>
      </c>
      <c r="L714" s="656" t="s">
        <v>413</v>
      </c>
      <c r="M714" s="656" t="s">
        <v>41</v>
      </c>
      <c r="N714" s="656" t="s">
        <v>43</v>
      </c>
      <c r="O714" s="656" t="s">
        <v>44</v>
      </c>
      <c r="P714" s="656" t="s">
        <v>45</v>
      </c>
      <c r="Q714" s="657">
        <v>0</v>
      </c>
      <c r="R714" s="657">
        <v>0</v>
      </c>
      <c r="S714" s="657">
        <v>0</v>
      </c>
      <c r="T714" s="657">
        <v>0</v>
      </c>
      <c r="U714" s="657">
        <v>0</v>
      </c>
      <c r="V714" s="655">
        <v>2021</v>
      </c>
      <c r="W714" s="659"/>
      <c r="X714" s="660" t="str">
        <f t="shared" si="35"/>
        <v/>
      </c>
      <c r="Y714" s="661" t="str">
        <f t="shared" si="33"/>
        <v/>
      </c>
      <c r="Z714" s="661" t="str">
        <f t="shared" si="34"/>
        <v/>
      </c>
    </row>
    <row r="715" spans="1:26" s="128" customFormat="1" ht="25" hidden="1">
      <c r="A715" s="655">
        <v>50368</v>
      </c>
      <c r="B715" s="656" t="s">
        <v>54</v>
      </c>
      <c r="C715" s="655" t="s">
        <v>2793</v>
      </c>
      <c r="D715" s="656" t="s">
        <v>420</v>
      </c>
      <c r="E715" s="656" t="s">
        <v>421</v>
      </c>
      <c r="F715" s="655">
        <v>21508</v>
      </c>
      <c r="G715" s="656" t="s">
        <v>57</v>
      </c>
      <c r="H715" s="656" t="s">
        <v>1182</v>
      </c>
      <c r="I715" s="656" t="s">
        <v>58</v>
      </c>
      <c r="J715" s="655">
        <v>611</v>
      </c>
      <c r="K715" s="655">
        <v>5</v>
      </c>
      <c r="L715" s="656" t="s">
        <v>413</v>
      </c>
      <c r="M715" s="656" t="s">
        <v>41</v>
      </c>
      <c r="N715" s="656" t="s">
        <v>46</v>
      </c>
      <c r="O715" s="656" t="s">
        <v>46</v>
      </c>
      <c r="P715" s="656" t="s">
        <v>47</v>
      </c>
      <c r="Q715" s="657">
        <v>5</v>
      </c>
      <c r="R715" s="657">
        <v>2</v>
      </c>
      <c r="S715" s="657">
        <v>29</v>
      </c>
      <c r="T715" s="657">
        <v>9</v>
      </c>
      <c r="U715" s="657">
        <v>2.4710000000000001</v>
      </c>
      <c r="V715" s="655">
        <v>2021</v>
      </c>
      <c r="W715" s="659"/>
      <c r="X715" s="660" t="str">
        <f t="shared" si="35"/>
        <v/>
      </c>
      <c r="Y715" s="661" t="str">
        <f t="shared" si="33"/>
        <v/>
      </c>
      <c r="Z715" s="661" t="str">
        <f t="shared" si="34"/>
        <v/>
      </c>
    </row>
    <row r="716" spans="1:26" s="128" customFormat="1" ht="25" hidden="1">
      <c r="A716" s="655">
        <v>50368</v>
      </c>
      <c r="B716" s="656" t="s">
        <v>54</v>
      </c>
      <c r="C716" s="655" t="s">
        <v>2793</v>
      </c>
      <c r="D716" s="656" t="s">
        <v>420</v>
      </c>
      <c r="E716" s="656" t="s">
        <v>421</v>
      </c>
      <c r="F716" s="655">
        <v>21508</v>
      </c>
      <c r="G716" s="656" t="s">
        <v>57</v>
      </c>
      <c r="H716" s="656" t="s">
        <v>1182</v>
      </c>
      <c r="I716" s="656" t="s">
        <v>58</v>
      </c>
      <c r="J716" s="655">
        <v>611</v>
      </c>
      <c r="K716" s="655">
        <v>5</v>
      </c>
      <c r="L716" s="656" t="s">
        <v>413</v>
      </c>
      <c r="M716" s="656" t="s">
        <v>41</v>
      </c>
      <c r="N716" s="656" t="s">
        <v>39</v>
      </c>
      <c r="O716" s="656" t="s">
        <v>39</v>
      </c>
      <c r="P716" s="656" t="s">
        <v>1037</v>
      </c>
      <c r="Q716" s="657">
        <v>2052197</v>
      </c>
      <c r="R716" s="657">
        <v>832365</v>
      </c>
      <c r="S716" s="657">
        <v>2113762</v>
      </c>
      <c r="T716" s="657">
        <v>857337</v>
      </c>
      <c r="U716" s="657">
        <v>183300.53</v>
      </c>
      <c r="V716" s="655">
        <v>2021</v>
      </c>
      <c r="W716" s="659"/>
      <c r="X716" s="660" t="str">
        <f t="shared" si="35"/>
        <v/>
      </c>
      <c r="Y716" s="661" t="str">
        <f t="shared" si="33"/>
        <v/>
      </c>
      <c r="Z716" s="661" t="str">
        <f t="shared" si="34"/>
        <v/>
      </c>
    </row>
    <row r="717" spans="1:26" s="128" customFormat="1" ht="25" hidden="1">
      <c r="A717" s="655">
        <v>50368</v>
      </c>
      <c r="B717" s="656" t="s">
        <v>54</v>
      </c>
      <c r="C717" s="655" t="s">
        <v>2793</v>
      </c>
      <c r="D717" s="656" t="s">
        <v>420</v>
      </c>
      <c r="E717" s="656" t="s">
        <v>421</v>
      </c>
      <c r="F717" s="655">
        <v>21508</v>
      </c>
      <c r="G717" s="656" t="s">
        <v>57</v>
      </c>
      <c r="H717" s="656" t="s">
        <v>1182</v>
      </c>
      <c r="I717" s="656" t="s">
        <v>58</v>
      </c>
      <c r="J717" s="655">
        <v>611</v>
      </c>
      <c r="K717" s="655">
        <v>5</v>
      </c>
      <c r="L717" s="656" t="s">
        <v>413</v>
      </c>
      <c r="M717" s="656" t="s">
        <v>41</v>
      </c>
      <c r="N717" s="656" t="s">
        <v>61</v>
      </c>
      <c r="O717" s="656" t="s">
        <v>61</v>
      </c>
      <c r="P717" s="656" t="s">
        <v>47</v>
      </c>
      <c r="Q717" s="657">
        <v>0</v>
      </c>
      <c r="R717" s="657">
        <v>0</v>
      </c>
      <c r="S717" s="657">
        <v>0</v>
      </c>
      <c r="T717" s="657">
        <v>0</v>
      </c>
      <c r="U717" s="657">
        <v>0</v>
      </c>
      <c r="V717" s="655">
        <v>2021</v>
      </c>
      <c r="W717" s="659"/>
      <c r="X717" s="660" t="str">
        <f t="shared" si="35"/>
        <v/>
      </c>
      <c r="Y717" s="661" t="str">
        <f t="shared" si="33"/>
        <v/>
      </c>
      <c r="Z717" s="661" t="str">
        <f t="shared" si="34"/>
        <v/>
      </c>
    </row>
    <row r="718" spans="1:26" s="128" customFormat="1" ht="25" hidden="1">
      <c r="A718" s="655">
        <v>50368</v>
      </c>
      <c r="B718" s="656" t="s">
        <v>54</v>
      </c>
      <c r="C718" s="655" t="s">
        <v>2793</v>
      </c>
      <c r="D718" s="656" t="s">
        <v>420</v>
      </c>
      <c r="E718" s="656" t="s">
        <v>421</v>
      </c>
      <c r="F718" s="655">
        <v>21508</v>
      </c>
      <c r="G718" s="656" t="s">
        <v>57</v>
      </c>
      <c r="H718" s="656" t="s">
        <v>1182</v>
      </c>
      <c r="I718" s="656" t="s">
        <v>58</v>
      </c>
      <c r="J718" s="655">
        <v>611</v>
      </c>
      <c r="K718" s="655">
        <v>5</v>
      </c>
      <c r="L718" s="656" t="s">
        <v>413</v>
      </c>
      <c r="M718" s="656" t="s">
        <v>51</v>
      </c>
      <c r="N718" s="656" t="s">
        <v>46</v>
      </c>
      <c r="O718" s="656" t="s">
        <v>46</v>
      </c>
      <c r="P718" s="656" t="s">
        <v>47</v>
      </c>
      <c r="Q718" s="657">
        <v>72</v>
      </c>
      <c r="R718" s="657">
        <v>29</v>
      </c>
      <c r="S718" s="657">
        <v>411</v>
      </c>
      <c r="T718" s="657">
        <v>176</v>
      </c>
      <c r="U718" s="657">
        <v>39</v>
      </c>
      <c r="V718" s="655">
        <v>2021</v>
      </c>
      <c r="W718" s="659"/>
      <c r="X718" s="660" t="str">
        <f t="shared" si="35"/>
        <v/>
      </c>
      <c r="Y718" s="661" t="str">
        <f t="shared" si="33"/>
        <v/>
      </c>
      <c r="Z718" s="661" t="str">
        <f t="shared" si="34"/>
        <v/>
      </c>
    </row>
    <row r="719" spans="1:26" s="128" customFormat="1" ht="25" hidden="1">
      <c r="A719" s="655">
        <v>50384</v>
      </c>
      <c r="B719" s="656" t="s">
        <v>33</v>
      </c>
      <c r="C719" s="655" t="s">
        <v>2793</v>
      </c>
      <c r="D719" s="656" t="s">
        <v>881</v>
      </c>
      <c r="E719" s="656" t="s">
        <v>3104</v>
      </c>
      <c r="F719" s="655">
        <v>57280</v>
      </c>
      <c r="G719" s="656" t="s">
        <v>96</v>
      </c>
      <c r="H719" s="656" t="s">
        <v>1183</v>
      </c>
      <c r="I719" s="656" t="s">
        <v>58</v>
      </c>
      <c r="J719" s="655">
        <v>22</v>
      </c>
      <c r="K719" s="655">
        <v>2</v>
      </c>
      <c r="L719" s="656" t="s">
        <v>52</v>
      </c>
      <c r="M719" s="656" t="s">
        <v>35</v>
      </c>
      <c r="N719" s="656" t="s">
        <v>36</v>
      </c>
      <c r="O719" s="656" t="s">
        <v>37</v>
      </c>
      <c r="P719" s="656" t="s">
        <v>1176</v>
      </c>
      <c r="Q719" s="657">
        <v>0</v>
      </c>
      <c r="R719" s="657">
        <v>0</v>
      </c>
      <c r="S719" s="657">
        <v>99882</v>
      </c>
      <c r="T719" s="657">
        <v>99882</v>
      </c>
      <c r="U719" s="657">
        <v>11295</v>
      </c>
      <c r="V719" s="655">
        <v>2021</v>
      </c>
      <c r="W719" s="659"/>
      <c r="X719" s="660">
        <f t="shared" si="35"/>
        <v>8.8430278884462155</v>
      </c>
      <c r="Y719" s="661" t="str">
        <f t="shared" si="33"/>
        <v/>
      </c>
      <c r="Z719" s="661" t="str">
        <f t="shared" si="34"/>
        <v/>
      </c>
    </row>
    <row r="720" spans="1:26" s="128" customFormat="1" ht="25" hidden="1">
      <c r="A720" s="655">
        <v>50406</v>
      </c>
      <c r="B720" s="656" t="s">
        <v>54</v>
      </c>
      <c r="C720" s="655" t="s">
        <v>2793</v>
      </c>
      <c r="D720" s="656" t="s">
        <v>422</v>
      </c>
      <c r="E720" s="656" t="s">
        <v>423</v>
      </c>
      <c r="F720" s="655">
        <v>16190</v>
      </c>
      <c r="G720" s="656" t="s">
        <v>90</v>
      </c>
      <c r="H720" s="656" t="s">
        <v>1183</v>
      </c>
      <c r="I720" s="656" t="s">
        <v>58</v>
      </c>
      <c r="J720" s="655">
        <v>322122</v>
      </c>
      <c r="K720" s="655">
        <v>7</v>
      </c>
      <c r="L720" s="656" t="s">
        <v>409</v>
      </c>
      <c r="M720" s="656" t="s">
        <v>42</v>
      </c>
      <c r="N720" s="656" t="s">
        <v>154</v>
      </c>
      <c r="O720" s="656" t="s">
        <v>70</v>
      </c>
      <c r="P720" s="656" t="s">
        <v>45</v>
      </c>
      <c r="Q720" s="657">
        <v>905701</v>
      </c>
      <c r="R720" s="657">
        <v>119589</v>
      </c>
      <c r="S720" s="657">
        <v>10402574</v>
      </c>
      <c r="T720" s="657">
        <v>1373514</v>
      </c>
      <c r="U720" s="657">
        <v>287040.40999999997</v>
      </c>
      <c r="V720" s="655">
        <v>2021</v>
      </c>
      <c r="W720" s="659"/>
      <c r="X720" s="660" t="str">
        <f t="shared" si="35"/>
        <v/>
      </c>
      <c r="Y720" s="661" t="str">
        <f t="shared" si="33"/>
        <v/>
      </c>
      <c r="Z720" s="661" t="str">
        <f t="shared" si="34"/>
        <v/>
      </c>
    </row>
    <row r="721" spans="1:26" s="128" customFormat="1" ht="25" hidden="1">
      <c r="A721" s="655">
        <v>50406</v>
      </c>
      <c r="B721" s="656" t="s">
        <v>54</v>
      </c>
      <c r="C721" s="655" t="s">
        <v>2793</v>
      </c>
      <c r="D721" s="656" t="s">
        <v>422</v>
      </c>
      <c r="E721" s="656" t="s">
        <v>423</v>
      </c>
      <c r="F721" s="655">
        <v>16190</v>
      </c>
      <c r="G721" s="656" t="s">
        <v>90</v>
      </c>
      <c r="H721" s="656" t="s">
        <v>1183</v>
      </c>
      <c r="I721" s="656" t="s">
        <v>58</v>
      </c>
      <c r="J721" s="655">
        <v>322122</v>
      </c>
      <c r="K721" s="655">
        <v>7</v>
      </c>
      <c r="L721" s="656" t="s">
        <v>409</v>
      </c>
      <c r="M721" s="656" t="s">
        <v>42</v>
      </c>
      <c r="N721" s="656" t="s">
        <v>46</v>
      </c>
      <c r="O721" s="656" t="s">
        <v>46</v>
      </c>
      <c r="P721" s="656" t="s">
        <v>47</v>
      </c>
      <c r="Q721" s="657">
        <v>588</v>
      </c>
      <c r="R721" s="657">
        <v>76</v>
      </c>
      <c r="S721" s="657">
        <v>3441</v>
      </c>
      <c r="T721" s="657">
        <v>443</v>
      </c>
      <c r="U721" s="657">
        <v>92.721999999999994</v>
      </c>
      <c r="V721" s="655">
        <v>2021</v>
      </c>
      <c r="W721" s="659"/>
      <c r="X721" s="660" t="str">
        <f t="shared" si="35"/>
        <v/>
      </c>
      <c r="Y721" s="661" t="str">
        <f t="shared" si="33"/>
        <v/>
      </c>
      <c r="Z721" s="661" t="str">
        <f t="shared" si="34"/>
        <v/>
      </c>
    </row>
    <row r="722" spans="1:26" s="128" customFormat="1" ht="25" hidden="1">
      <c r="A722" s="655">
        <v>50406</v>
      </c>
      <c r="B722" s="656" t="s">
        <v>54</v>
      </c>
      <c r="C722" s="655" t="s">
        <v>2793</v>
      </c>
      <c r="D722" s="656" t="s">
        <v>422</v>
      </c>
      <c r="E722" s="656" t="s">
        <v>423</v>
      </c>
      <c r="F722" s="655">
        <v>16190</v>
      </c>
      <c r="G722" s="656" t="s">
        <v>90</v>
      </c>
      <c r="H722" s="656" t="s">
        <v>1183</v>
      </c>
      <c r="I722" s="656" t="s">
        <v>58</v>
      </c>
      <c r="J722" s="655">
        <v>322122</v>
      </c>
      <c r="K722" s="655">
        <v>7</v>
      </c>
      <c r="L722" s="656" t="s">
        <v>409</v>
      </c>
      <c r="M722" s="656" t="s">
        <v>42</v>
      </c>
      <c r="N722" s="656" t="s">
        <v>39</v>
      </c>
      <c r="O722" s="656" t="s">
        <v>39</v>
      </c>
      <c r="P722" s="656" t="s">
        <v>1037</v>
      </c>
      <c r="Q722" s="657">
        <v>775890</v>
      </c>
      <c r="R722" s="657">
        <v>99088</v>
      </c>
      <c r="S722" s="657">
        <v>807890</v>
      </c>
      <c r="T722" s="657">
        <v>103177</v>
      </c>
      <c r="U722" s="657">
        <v>21524.038</v>
      </c>
      <c r="V722" s="655">
        <v>2021</v>
      </c>
      <c r="W722" s="659"/>
      <c r="X722" s="660" t="str">
        <f t="shared" si="35"/>
        <v/>
      </c>
      <c r="Y722" s="661" t="str">
        <f t="shared" si="33"/>
        <v/>
      </c>
      <c r="Z722" s="661" t="str">
        <f t="shared" si="34"/>
        <v/>
      </c>
    </row>
    <row r="723" spans="1:26" s="128" customFormat="1" ht="25" hidden="1">
      <c r="A723" s="655">
        <v>50406</v>
      </c>
      <c r="B723" s="656" t="s">
        <v>54</v>
      </c>
      <c r="C723" s="655" t="s">
        <v>2793</v>
      </c>
      <c r="D723" s="656" t="s">
        <v>422</v>
      </c>
      <c r="E723" s="656" t="s">
        <v>423</v>
      </c>
      <c r="F723" s="655">
        <v>16190</v>
      </c>
      <c r="G723" s="656" t="s">
        <v>90</v>
      </c>
      <c r="H723" s="656" t="s">
        <v>1183</v>
      </c>
      <c r="I723" s="656" t="s">
        <v>58</v>
      </c>
      <c r="J723" s="655">
        <v>322122</v>
      </c>
      <c r="K723" s="655">
        <v>7</v>
      </c>
      <c r="L723" s="656" t="s">
        <v>409</v>
      </c>
      <c r="M723" s="656" t="s">
        <v>42</v>
      </c>
      <c r="N723" s="656" t="s">
        <v>424</v>
      </c>
      <c r="O723" s="656" t="s">
        <v>49</v>
      </c>
      <c r="P723" s="656" t="s">
        <v>47</v>
      </c>
      <c r="Q723" s="657">
        <v>7711</v>
      </c>
      <c r="R723" s="657">
        <v>1008</v>
      </c>
      <c r="S723" s="657">
        <v>15616</v>
      </c>
      <c r="T723" s="657">
        <v>2041</v>
      </c>
      <c r="U723" s="657">
        <v>426.75</v>
      </c>
      <c r="V723" s="655">
        <v>2021</v>
      </c>
      <c r="W723" s="659"/>
      <c r="X723" s="660" t="str">
        <f t="shared" si="35"/>
        <v/>
      </c>
      <c r="Y723" s="661" t="str">
        <f t="shared" si="33"/>
        <v/>
      </c>
      <c r="Z723" s="661" t="str">
        <f t="shared" si="34"/>
        <v/>
      </c>
    </row>
    <row r="724" spans="1:26" s="128" customFormat="1" ht="25" hidden="1">
      <c r="A724" s="655">
        <v>50406</v>
      </c>
      <c r="B724" s="656" t="s">
        <v>54</v>
      </c>
      <c r="C724" s="655" t="s">
        <v>2793</v>
      </c>
      <c r="D724" s="656" t="s">
        <v>422</v>
      </c>
      <c r="E724" s="656" t="s">
        <v>423</v>
      </c>
      <c r="F724" s="655">
        <v>16190</v>
      </c>
      <c r="G724" s="656" t="s">
        <v>90</v>
      </c>
      <c r="H724" s="656" t="s">
        <v>1183</v>
      </c>
      <c r="I724" s="656" t="s">
        <v>58</v>
      </c>
      <c r="J724" s="655">
        <v>322122</v>
      </c>
      <c r="K724" s="655">
        <v>7</v>
      </c>
      <c r="L724" s="656" t="s">
        <v>409</v>
      </c>
      <c r="M724" s="656" t="s">
        <v>42</v>
      </c>
      <c r="N724" s="656" t="s">
        <v>61</v>
      </c>
      <c r="O724" s="656" t="s">
        <v>61</v>
      </c>
      <c r="P724" s="656" t="s">
        <v>47</v>
      </c>
      <c r="Q724" s="657">
        <v>34245</v>
      </c>
      <c r="R724" s="657">
        <v>4548</v>
      </c>
      <c r="S724" s="657">
        <v>209621</v>
      </c>
      <c r="T724" s="657">
        <v>27826</v>
      </c>
      <c r="U724" s="657">
        <v>5819.4179999999997</v>
      </c>
      <c r="V724" s="655">
        <v>2021</v>
      </c>
      <c r="W724" s="659"/>
      <c r="X724" s="660" t="str">
        <f t="shared" si="35"/>
        <v/>
      </c>
      <c r="Y724" s="661" t="str">
        <f t="shared" si="33"/>
        <v/>
      </c>
      <c r="Z724" s="661" t="str">
        <f t="shared" si="34"/>
        <v/>
      </c>
    </row>
    <row r="725" spans="1:26" s="128" customFormat="1" ht="25" hidden="1">
      <c r="A725" s="655">
        <v>50406</v>
      </c>
      <c r="B725" s="656" t="s">
        <v>54</v>
      </c>
      <c r="C725" s="655" t="s">
        <v>2793</v>
      </c>
      <c r="D725" s="656" t="s">
        <v>422</v>
      </c>
      <c r="E725" s="656" t="s">
        <v>423</v>
      </c>
      <c r="F725" s="655">
        <v>16190</v>
      </c>
      <c r="G725" s="656" t="s">
        <v>90</v>
      </c>
      <c r="H725" s="656" t="s">
        <v>1183</v>
      </c>
      <c r="I725" s="656" t="s">
        <v>58</v>
      </c>
      <c r="J725" s="655">
        <v>322122</v>
      </c>
      <c r="K725" s="655">
        <v>7</v>
      </c>
      <c r="L725" s="656" t="s">
        <v>409</v>
      </c>
      <c r="M725" s="656" t="s">
        <v>42</v>
      </c>
      <c r="N725" s="656" t="s">
        <v>155</v>
      </c>
      <c r="O725" s="656" t="s">
        <v>49</v>
      </c>
      <c r="P725" s="656" t="s">
        <v>45</v>
      </c>
      <c r="Q725" s="657">
        <v>53330</v>
      </c>
      <c r="R725" s="657">
        <v>7098</v>
      </c>
      <c r="S725" s="657">
        <v>315936</v>
      </c>
      <c r="T725" s="657">
        <v>41870</v>
      </c>
      <c r="U725" s="657">
        <v>8754.5609999999997</v>
      </c>
      <c r="V725" s="655">
        <v>2021</v>
      </c>
      <c r="W725" s="659"/>
      <c r="X725" s="660" t="str">
        <f t="shared" si="35"/>
        <v/>
      </c>
      <c r="Y725" s="661" t="str">
        <f t="shared" si="33"/>
        <v/>
      </c>
      <c r="Z725" s="661" t="str">
        <f t="shared" si="34"/>
        <v/>
      </c>
    </row>
    <row r="726" spans="1:26" s="128" customFormat="1" ht="25" hidden="1">
      <c r="A726" s="655">
        <v>50406</v>
      </c>
      <c r="B726" s="656" t="s">
        <v>54</v>
      </c>
      <c r="C726" s="655" t="s">
        <v>2793</v>
      </c>
      <c r="D726" s="656" t="s">
        <v>422</v>
      </c>
      <c r="E726" s="656" t="s">
        <v>423</v>
      </c>
      <c r="F726" s="655">
        <v>16190</v>
      </c>
      <c r="G726" s="656" t="s">
        <v>90</v>
      </c>
      <c r="H726" s="656" t="s">
        <v>1183</v>
      </c>
      <c r="I726" s="656" t="s">
        <v>58</v>
      </c>
      <c r="J726" s="655">
        <v>322122</v>
      </c>
      <c r="K726" s="655">
        <v>7</v>
      </c>
      <c r="L726" s="656" t="s">
        <v>409</v>
      </c>
      <c r="M726" s="656" t="s">
        <v>42</v>
      </c>
      <c r="N726" s="656" t="s">
        <v>402</v>
      </c>
      <c r="O726" s="656" t="s">
        <v>82</v>
      </c>
      <c r="P726" s="656" t="s">
        <v>45</v>
      </c>
      <c r="Q726" s="657">
        <v>36546</v>
      </c>
      <c r="R726" s="657">
        <v>4794</v>
      </c>
      <c r="S726" s="657">
        <v>1155220</v>
      </c>
      <c r="T726" s="657">
        <v>151580</v>
      </c>
      <c r="U726" s="657">
        <v>31684.241000000002</v>
      </c>
      <c r="V726" s="655">
        <v>2021</v>
      </c>
      <c r="W726" s="659"/>
      <c r="X726" s="660" t="str">
        <f t="shared" si="35"/>
        <v/>
      </c>
      <c r="Y726" s="661" t="str">
        <f t="shared" si="33"/>
        <v/>
      </c>
      <c r="Z726" s="661" t="str">
        <f t="shared" si="34"/>
        <v/>
      </c>
    </row>
    <row r="727" spans="1:26" s="128" customFormat="1" ht="25" hidden="1">
      <c r="A727" s="655">
        <v>50406</v>
      </c>
      <c r="B727" s="656" t="s">
        <v>54</v>
      </c>
      <c r="C727" s="655" t="s">
        <v>2793</v>
      </c>
      <c r="D727" s="656" t="s">
        <v>422</v>
      </c>
      <c r="E727" s="656" t="s">
        <v>423</v>
      </c>
      <c r="F727" s="655">
        <v>16190</v>
      </c>
      <c r="G727" s="656" t="s">
        <v>90</v>
      </c>
      <c r="H727" s="656" t="s">
        <v>1183</v>
      </c>
      <c r="I727" s="656" t="s">
        <v>58</v>
      </c>
      <c r="J727" s="655">
        <v>322122</v>
      </c>
      <c r="K727" s="655">
        <v>7</v>
      </c>
      <c r="L727" s="656" t="s">
        <v>409</v>
      </c>
      <c r="M727" s="656" t="s">
        <v>42</v>
      </c>
      <c r="N727" s="656" t="s">
        <v>69</v>
      </c>
      <c r="O727" s="656" t="s">
        <v>70</v>
      </c>
      <c r="P727" s="656" t="s">
        <v>45</v>
      </c>
      <c r="Q727" s="657">
        <v>837743</v>
      </c>
      <c r="R727" s="657">
        <v>111467</v>
      </c>
      <c r="S727" s="657">
        <v>7362025</v>
      </c>
      <c r="T727" s="657">
        <v>979557</v>
      </c>
      <c r="U727" s="657">
        <v>204819.86</v>
      </c>
      <c r="V727" s="655">
        <v>2021</v>
      </c>
      <c r="W727" s="659"/>
      <c r="X727" s="660" t="str">
        <f t="shared" si="35"/>
        <v/>
      </c>
      <c r="Y727" s="661" t="str">
        <f t="shared" si="33"/>
        <v/>
      </c>
      <c r="Z727" s="661" t="str">
        <f t="shared" si="34"/>
        <v/>
      </c>
    </row>
    <row r="728" spans="1:26" s="128" customFormat="1" ht="25" hidden="1">
      <c r="A728" s="655">
        <v>50414</v>
      </c>
      <c r="B728" s="656" t="s">
        <v>33</v>
      </c>
      <c r="C728" s="655" t="s">
        <v>2793</v>
      </c>
      <c r="D728" s="656" t="s">
        <v>882</v>
      </c>
      <c r="E728" s="656" t="s">
        <v>877</v>
      </c>
      <c r="F728" s="655">
        <v>24793</v>
      </c>
      <c r="G728" s="656" t="s">
        <v>96</v>
      </c>
      <c r="H728" s="656" t="s">
        <v>1183</v>
      </c>
      <c r="I728" s="656" t="s">
        <v>58</v>
      </c>
      <c r="J728" s="655">
        <v>22</v>
      </c>
      <c r="K728" s="655">
        <v>2</v>
      </c>
      <c r="L728" s="656" t="s">
        <v>52</v>
      </c>
      <c r="M728" s="656" t="s">
        <v>35</v>
      </c>
      <c r="N728" s="656" t="s">
        <v>36</v>
      </c>
      <c r="O728" s="656" t="s">
        <v>37</v>
      </c>
      <c r="P728" s="656" t="s">
        <v>1176</v>
      </c>
      <c r="Q728" s="657">
        <v>0</v>
      </c>
      <c r="R728" s="657">
        <v>0</v>
      </c>
      <c r="S728" s="657">
        <v>127225</v>
      </c>
      <c r="T728" s="657">
        <v>127225</v>
      </c>
      <c r="U728" s="657">
        <v>14387</v>
      </c>
      <c r="V728" s="655">
        <v>2021</v>
      </c>
      <c r="W728" s="659"/>
      <c r="X728" s="660">
        <f t="shared" si="35"/>
        <v>8.8430527559602421</v>
      </c>
      <c r="Y728" s="661" t="str">
        <f t="shared" si="33"/>
        <v/>
      </c>
      <c r="Z728" s="661" t="str">
        <f t="shared" si="34"/>
        <v/>
      </c>
    </row>
    <row r="729" spans="1:26" s="128" customFormat="1" ht="25" hidden="1">
      <c r="A729" s="655">
        <v>50416</v>
      </c>
      <c r="B729" s="656" t="s">
        <v>33</v>
      </c>
      <c r="C729" s="655" t="s">
        <v>2793</v>
      </c>
      <c r="D729" s="656" t="s">
        <v>883</v>
      </c>
      <c r="E729" s="656" t="s">
        <v>1833</v>
      </c>
      <c r="F729" s="655">
        <v>18436</v>
      </c>
      <c r="G729" s="656" t="s">
        <v>57</v>
      </c>
      <c r="H729" s="656" t="s">
        <v>1182</v>
      </c>
      <c r="I729" s="656" t="s">
        <v>58</v>
      </c>
      <c r="J729" s="655">
        <v>22</v>
      </c>
      <c r="K729" s="655">
        <v>2</v>
      </c>
      <c r="L729" s="656" t="s">
        <v>52</v>
      </c>
      <c r="M729" s="656" t="s">
        <v>35</v>
      </c>
      <c r="N729" s="656" t="s">
        <v>36</v>
      </c>
      <c r="O729" s="656" t="s">
        <v>37</v>
      </c>
      <c r="P729" s="656" t="s">
        <v>1176</v>
      </c>
      <c r="Q729" s="657">
        <v>0</v>
      </c>
      <c r="R729" s="657">
        <v>0</v>
      </c>
      <c r="S729" s="657">
        <v>64040</v>
      </c>
      <c r="T729" s="657">
        <v>64040</v>
      </c>
      <c r="U729" s="657">
        <v>7242</v>
      </c>
      <c r="V729" s="655">
        <v>2021</v>
      </c>
      <c r="W729" s="659"/>
      <c r="X729" s="660">
        <f t="shared" si="35"/>
        <v>8.8428610880972105</v>
      </c>
      <c r="Y729" s="661" t="str">
        <f t="shared" si="33"/>
        <v/>
      </c>
      <c r="Z729" s="661" t="str">
        <f t="shared" si="34"/>
        <v/>
      </c>
    </row>
    <row r="730" spans="1:26" s="128" customFormat="1" ht="25" hidden="1">
      <c r="A730" s="655">
        <v>50427</v>
      </c>
      <c r="B730" s="656" t="s">
        <v>54</v>
      </c>
      <c r="C730" s="655" t="s">
        <v>2793</v>
      </c>
      <c r="D730" s="656" t="s">
        <v>884</v>
      </c>
      <c r="E730" s="656" t="s">
        <v>885</v>
      </c>
      <c r="F730" s="655">
        <v>13487</v>
      </c>
      <c r="G730" s="656" t="s">
        <v>57</v>
      </c>
      <c r="H730" s="656" t="s">
        <v>1182</v>
      </c>
      <c r="I730" s="656" t="s">
        <v>58</v>
      </c>
      <c r="J730" s="655">
        <v>712</v>
      </c>
      <c r="K730" s="655">
        <v>5</v>
      </c>
      <c r="L730" s="656" t="s">
        <v>413</v>
      </c>
      <c r="M730" s="656" t="s">
        <v>51</v>
      </c>
      <c r="N730" s="656" t="s">
        <v>46</v>
      </c>
      <c r="O730" s="656" t="s">
        <v>46</v>
      </c>
      <c r="P730" s="656" t="s">
        <v>47</v>
      </c>
      <c r="Q730" s="657">
        <v>0</v>
      </c>
      <c r="R730" s="657">
        <v>0</v>
      </c>
      <c r="S730" s="657">
        <v>0</v>
      </c>
      <c r="T730" s="657">
        <v>0</v>
      </c>
      <c r="U730" s="657">
        <v>0</v>
      </c>
      <c r="V730" s="655">
        <v>2021</v>
      </c>
      <c r="W730" s="659"/>
      <c r="X730" s="660" t="str">
        <f t="shared" si="35"/>
        <v/>
      </c>
      <c r="Y730" s="661" t="str">
        <f t="shared" si="33"/>
        <v/>
      </c>
      <c r="Z730" s="661" t="str">
        <f t="shared" si="34"/>
        <v/>
      </c>
    </row>
    <row r="731" spans="1:26" s="128" customFormat="1" ht="25" hidden="1">
      <c r="A731" s="655">
        <v>50427</v>
      </c>
      <c r="B731" s="656" t="s">
        <v>54</v>
      </c>
      <c r="C731" s="655" t="s">
        <v>2793</v>
      </c>
      <c r="D731" s="656" t="s">
        <v>884</v>
      </c>
      <c r="E731" s="656" t="s">
        <v>885</v>
      </c>
      <c r="F731" s="655">
        <v>13487</v>
      </c>
      <c r="G731" s="656" t="s">
        <v>57</v>
      </c>
      <c r="H731" s="656" t="s">
        <v>1182</v>
      </c>
      <c r="I731" s="656" t="s">
        <v>58</v>
      </c>
      <c r="J731" s="655">
        <v>712</v>
      </c>
      <c r="K731" s="655">
        <v>5</v>
      </c>
      <c r="L731" s="656" t="s">
        <v>413</v>
      </c>
      <c r="M731" s="656" t="s">
        <v>51</v>
      </c>
      <c r="N731" s="656" t="s">
        <v>39</v>
      </c>
      <c r="O731" s="656" t="s">
        <v>39</v>
      </c>
      <c r="P731" s="656" t="s">
        <v>1037</v>
      </c>
      <c r="Q731" s="657">
        <v>242531</v>
      </c>
      <c r="R731" s="657">
        <v>113930</v>
      </c>
      <c r="S731" s="657">
        <v>266784</v>
      </c>
      <c r="T731" s="657">
        <v>125323</v>
      </c>
      <c r="U731" s="657">
        <v>20569</v>
      </c>
      <c r="V731" s="655">
        <v>2021</v>
      </c>
      <c r="W731" s="659"/>
      <c r="X731" s="660" t="str">
        <f t="shared" si="35"/>
        <v/>
      </c>
      <c r="Y731" s="661" t="str">
        <f t="shared" si="33"/>
        <v/>
      </c>
      <c r="Z731" s="661" t="str">
        <f t="shared" si="34"/>
        <v/>
      </c>
    </row>
    <row r="732" spans="1:26" s="128" customFormat="1" ht="25" hidden="1">
      <c r="A732" s="655">
        <v>50447</v>
      </c>
      <c r="B732" s="656" t="s">
        <v>54</v>
      </c>
      <c r="C732" s="655" t="s">
        <v>2793</v>
      </c>
      <c r="D732" s="656" t="s">
        <v>425</v>
      </c>
      <c r="E732" s="656" t="s">
        <v>3366</v>
      </c>
      <c r="F732" s="655">
        <v>16721</v>
      </c>
      <c r="G732" s="656" t="s">
        <v>90</v>
      </c>
      <c r="H732" s="656" t="s">
        <v>1183</v>
      </c>
      <c r="I732" s="656" t="s">
        <v>58</v>
      </c>
      <c r="J732" s="655">
        <v>322122</v>
      </c>
      <c r="K732" s="655">
        <v>7</v>
      </c>
      <c r="L732" s="656" t="s">
        <v>409</v>
      </c>
      <c r="M732" s="656" t="s">
        <v>35</v>
      </c>
      <c r="N732" s="656" t="s">
        <v>36</v>
      </c>
      <c r="O732" s="656" t="s">
        <v>37</v>
      </c>
      <c r="P732" s="656" t="s">
        <v>1176</v>
      </c>
      <c r="Q732" s="657">
        <v>0</v>
      </c>
      <c r="R732" s="657">
        <v>0</v>
      </c>
      <c r="S732" s="657">
        <v>178611</v>
      </c>
      <c r="T732" s="657">
        <v>178611</v>
      </c>
      <c r="U732" s="657">
        <v>20198</v>
      </c>
      <c r="V732" s="655">
        <v>2021</v>
      </c>
      <c r="W732" s="659"/>
      <c r="X732" s="660" t="str">
        <f t="shared" si="35"/>
        <v/>
      </c>
      <c r="Y732" s="661" t="str">
        <f t="shared" si="33"/>
        <v/>
      </c>
      <c r="Z732" s="661" t="str">
        <f t="shared" si="34"/>
        <v/>
      </c>
    </row>
    <row r="733" spans="1:26" s="128" customFormat="1" ht="25" hidden="1">
      <c r="A733" s="655">
        <v>50447</v>
      </c>
      <c r="B733" s="656" t="s">
        <v>54</v>
      </c>
      <c r="C733" s="655" t="s">
        <v>2793</v>
      </c>
      <c r="D733" s="656" t="s">
        <v>425</v>
      </c>
      <c r="E733" s="656" t="s">
        <v>3366</v>
      </c>
      <c r="F733" s="655">
        <v>16721</v>
      </c>
      <c r="G733" s="656" t="s">
        <v>90</v>
      </c>
      <c r="H733" s="656" t="s">
        <v>1183</v>
      </c>
      <c r="I733" s="656" t="s">
        <v>58</v>
      </c>
      <c r="J733" s="655">
        <v>322122</v>
      </c>
      <c r="K733" s="655">
        <v>7</v>
      </c>
      <c r="L733" s="656" t="s">
        <v>409</v>
      </c>
      <c r="M733" s="656" t="s">
        <v>42</v>
      </c>
      <c r="N733" s="656" t="s">
        <v>43</v>
      </c>
      <c r="O733" s="656" t="s">
        <v>44</v>
      </c>
      <c r="P733" s="656" t="s">
        <v>45</v>
      </c>
      <c r="Q733" s="657">
        <v>0</v>
      </c>
      <c r="R733" s="657">
        <v>0</v>
      </c>
      <c r="S733" s="657">
        <v>0</v>
      </c>
      <c r="T733" s="657">
        <v>0</v>
      </c>
      <c r="U733" s="657">
        <v>0</v>
      </c>
      <c r="V733" s="655">
        <v>2021</v>
      </c>
      <c r="W733" s="659"/>
      <c r="X733" s="660" t="str">
        <f t="shared" si="35"/>
        <v/>
      </c>
      <c r="Y733" s="661" t="str">
        <f t="shared" si="33"/>
        <v/>
      </c>
      <c r="Z733" s="661" t="str">
        <f t="shared" si="34"/>
        <v/>
      </c>
    </row>
    <row r="734" spans="1:26" s="128" customFormat="1" ht="25" hidden="1">
      <c r="A734" s="655">
        <v>50447</v>
      </c>
      <c r="B734" s="656" t="s">
        <v>54</v>
      </c>
      <c r="C734" s="655" t="s">
        <v>2793</v>
      </c>
      <c r="D734" s="656" t="s">
        <v>425</v>
      </c>
      <c r="E734" s="656" t="s">
        <v>3366</v>
      </c>
      <c r="F734" s="655">
        <v>16721</v>
      </c>
      <c r="G734" s="656" t="s">
        <v>90</v>
      </c>
      <c r="H734" s="656" t="s">
        <v>1183</v>
      </c>
      <c r="I734" s="656" t="s">
        <v>58</v>
      </c>
      <c r="J734" s="655">
        <v>322122</v>
      </c>
      <c r="K734" s="655">
        <v>7</v>
      </c>
      <c r="L734" s="656" t="s">
        <v>409</v>
      </c>
      <c r="M734" s="656" t="s">
        <v>42</v>
      </c>
      <c r="N734" s="656" t="s">
        <v>46</v>
      </c>
      <c r="O734" s="656" t="s">
        <v>46</v>
      </c>
      <c r="P734" s="656" t="s">
        <v>47</v>
      </c>
      <c r="Q734" s="657">
        <v>0</v>
      </c>
      <c r="R734" s="657">
        <v>0</v>
      </c>
      <c r="S734" s="657">
        <v>0</v>
      </c>
      <c r="T734" s="657">
        <v>0</v>
      </c>
      <c r="U734" s="657">
        <v>0</v>
      </c>
      <c r="V734" s="655">
        <v>2021</v>
      </c>
      <c r="W734" s="659"/>
      <c r="X734" s="660" t="str">
        <f t="shared" si="35"/>
        <v/>
      </c>
      <c r="Y734" s="661" t="str">
        <f t="shared" si="33"/>
        <v/>
      </c>
      <c r="Z734" s="661" t="str">
        <f t="shared" si="34"/>
        <v/>
      </c>
    </row>
    <row r="735" spans="1:26" s="128" customFormat="1" ht="25" hidden="1">
      <c r="A735" s="655">
        <v>50447</v>
      </c>
      <c r="B735" s="656" t="s">
        <v>54</v>
      </c>
      <c r="C735" s="655" t="s">
        <v>2793</v>
      </c>
      <c r="D735" s="656" t="s">
        <v>425</v>
      </c>
      <c r="E735" s="656" t="s">
        <v>3366</v>
      </c>
      <c r="F735" s="655">
        <v>16721</v>
      </c>
      <c r="G735" s="656" t="s">
        <v>90</v>
      </c>
      <c r="H735" s="656" t="s">
        <v>1183</v>
      </c>
      <c r="I735" s="656" t="s">
        <v>58</v>
      </c>
      <c r="J735" s="655">
        <v>322122</v>
      </c>
      <c r="K735" s="655">
        <v>7</v>
      </c>
      <c r="L735" s="656" t="s">
        <v>409</v>
      </c>
      <c r="M735" s="656" t="s">
        <v>42</v>
      </c>
      <c r="N735" s="656" t="s">
        <v>61</v>
      </c>
      <c r="O735" s="656" t="s">
        <v>61</v>
      </c>
      <c r="P735" s="656" t="s">
        <v>47</v>
      </c>
      <c r="Q735" s="657">
        <v>6501</v>
      </c>
      <c r="R735" s="657">
        <v>0</v>
      </c>
      <c r="S735" s="657">
        <v>40956</v>
      </c>
      <c r="T735" s="657">
        <v>0</v>
      </c>
      <c r="U735" s="657">
        <v>0</v>
      </c>
      <c r="V735" s="655">
        <v>2021</v>
      </c>
      <c r="W735" s="659"/>
      <c r="X735" s="660" t="str">
        <f t="shared" si="35"/>
        <v/>
      </c>
      <c r="Y735" s="661" t="str">
        <f t="shared" si="33"/>
        <v/>
      </c>
      <c r="Z735" s="661" t="str">
        <f t="shared" si="34"/>
        <v/>
      </c>
    </row>
    <row r="736" spans="1:26" s="128" customFormat="1" ht="25" hidden="1">
      <c r="A736" s="655">
        <v>50447</v>
      </c>
      <c r="B736" s="656" t="s">
        <v>54</v>
      </c>
      <c r="C736" s="655" t="s">
        <v>2793</v>
      </c>
      <c r="D736" s="656" t="s">
        <v>425</v>
      </c>
      <c r="E736" s="656" t="s">
        <v>3366</v>
      </c>
      <c r="F736" s="655">
        <v>16721</v>
      </c>
      <c r="G736" s="656" t="s">
        <v>90</v>
      </c>
      <c r="H736" s="656" t="s">
        <v>1183</v>
      </c>
      <c r="I736" s="656" t="s">
        <v>58</v>
      </c>
      <c r="J736" s="655">
        <v>322122</v>
      </c>
      <c r="K736" s="655">
        <v>7</v>
      </c>
      <c r="L736" s="656" t="s">
        <v>409</v>
      </c>
      <c r="M736" s="656" t="s">
        <v>42</v>
      </c>
      <c r="N736" s="656" t="s">
        <v>69</v>
      </c>
      <c r="O736" s="656" t="s">
        <v>70</v>
      </c>
      <c r="P736" s="656" t="s">
        <v>45</v>
      </c>
      <c r="Q736" s="657">
        <v>0</v>
      </c>
      <c r="R736" s="657">
        <v>0</v>
      </c>
      <c r="S736" s="657">
        <v>0</v>
      </c>
      <c r="T736" s="657">
        <v>0</v>
      </c>
      <c r="U736" s="657">
        <v>0</v>
      </c>
      <c r="V736" s="655">
        <v>2021</v>
      </c>
      <c r="W736" s="659"/>
      <c r="X736" s="660" t="str">
        <f t="shared" si="35"/>
        <v/>
      </c>
      <c r="Y736" s="661" t="str">
        <f t="shared" si="33"/>
        <v/>
      </c>
      <c r="Z736" s="661" t="str">
        <f t="shared" si="34"/>
        <v/>
      </c>
    </row>
    <row r="737" spans="1:26" s="128" customFormat="1" ht="25" hidden="1">
      <c r="A737" s="655">
        <v>50449</v>
      </c>
      <c r="B737" s="656" t="s">
        <v>54</v>
      </c>
      <c r="C737" s="655" t="s">
        <v>2793</v>
      </c>
      <c r="D737" s="656" t="s">
        <v>886</v>
      </c>
      <c r="E737" s="656" t="s">
        <v>887</v>
      </c>
      <c r="F737" s="655">
        <v>9245</v>
      </c>
      <c r="G737" s="656" t="s">
        <v>57</v>
      </c>
      <c r="H737" s="656" t="s">
        <v>1182</v>
      </c>
      <c r="I737" s="656" t="s">
        <v>58</v>
      </c>
      <c r="J737" s="655">
        <v>22</v>
      </c>
      <c r="K737" s="655">
        <v>3</v>
      </c>
      <c r="L737" s="656" t="s">
        <v>55</v>
      </c>
      <c r="M737" s="656" t="s">
        <v>38</v>
      </c>
      <c r="N737" s="656" t="s">
        <v>46</v>
      </c>
      <c r="O737" s="656" t="s">
        <v>46</v>
      </c>
      <c r="P737" s="656" t="s">
        <v>47</v>
      </c>
      <c r="Q737" s="657">
        <v>0</v>
      </c>
      <c r="R737" s="657">
        <v>0</v>
      </c>
      <c r="S737" s="657">
        <v>0</v>
      </c>
      <c r="T737" s="657">
        <v>0</v>
      </c>
      <c r="U737" s="657">
        <v>0</v>
      </c>
      <c r="V737" s="655">
        <v>2021</v>
      </c>
      <c r="W737" s="659"/>
      <c r="X737" s="660" t="str">
        <f t="shared" si="35"/>
        <v/>
      </c>
      <c r="Y737" s="661" t="str">
        <f t="shared" si="33"/>
        <v/>
      </c>
      <c r="Z737" s="661" t="str">
        <f t="shared" si="34"/>
        <v/>
      </c>
    </row>
    <row r="738" spans="1:26" s="128" customFormat="1" ht="25" hidden="1">
      <c r="A738" s="655">
        <v>50449</v>
      </c>
      <c r="B738" s="656" t="s">
        <v>54</v>
      </c>
      <c r="C738" s="655" t="s">
        <v>2793</v>
      </c>
      <c r="D738" s="656" t="s">
        <v>886</v>
      </c>
      <c r="E738" s="656" t="s">
        <v>887</v>
      </c>
      <c r="F738" s="655">
        <v>9245</v>
      </c>
      <c r="G738" s="656" t="s">
        <v>57</v>
      </c>
      <c r="H738" s="656" t="s">
        <v>1182</v>
      </c>
      <c r="I738" s="656" t="s">
        <v>58</v>
      </c>
      <c r="J738" s="655">
        <v>22</v>
      </c>
      <c r="K738" s="655">
        <v>3</v>
      </c>
      <c r="L738" s="656" t="s">
        <v>55</v>
      </c>
      <c r="M738" s="656" t="s">
        <v>38</v>
      </c>
      <c r="N738" s="656" t="s">
        <v>39</v>
      </c>
      <c r="O738" s="656" t="s">
        <v>39</v>
      </c>
      <c r="P738" s="656" t="s">
        <v>1037</v>
      </c>
      <c r="Q738" s="657">
        <v>7111</v>
      </c>
      <c r="R738" s="657">
        <v>7111</v>
      </c>
      <c r="S738" s="657">
        <v>7450</v>
      </c>
      <c r="T738" s="657">
        <v>7450</v>
      </c>
      <c r="U738" s="657">
        <v>8678.59</v>
      </c>
      <c r="V738" s="655">
        <v>2021</v>
      </c>
      <c r="W738" s="659"/>
      <c r="X738" s="660">
        <f t="shared" si="35"/>
        <v>0.85843437701285574</v>
      </c>
      <c r="Y738" s="661" t="str">
        <f t="shared" si="33"/>
        <v/>
      </c>
      <c r="Z738" s="661" t="str">
        <f t="shared" si="34"/>
        <v/>
      </c>
    </row>
    <row r="739" spans="1:26" s="128" customFormat="1" ht="25" hidden="1">
      <c r="A739" s="655">
        <v>50449</v>
      </c>
      <c r="B739" s="656" t="s">
        <v>54</v>
      </c>
      <c r="C739" s="655" t="s">
        <v>2793</v>
      </c>
      <c r="D739" s="656" t="s">
        <v>886</v>
      </c>
      <c r="E739" s="656" t="s">
        <v>887</v>
      </c>
      <c r="F739" s="655">
        <v>9245</v>
      </c>
      <c r="G739" s="656" t="s">
        <v>57</v>
      </c>
      <c r="H739" s="656" t="s">
        <v>1182</v>
      </c>
      <c r="I739" s="656" t="s">
        <v>58</v>
      </c>
      <c r="J739" s="655">
        <v>22</v>
      </c>
      <c r="K739" s="655">
        <v>3</v>
      </c>
      <c r="L739" s="656" t="s">
        <v>55</v>
      </c>
      <c r="M739" s="656" t="s">
        <v>41</v>
      </c>
      <c r="N739" s="656" t="s">
        <v>46</v>
      </c>
      <c r="O739" s="656" t="s">
        <v>46</v>
      </c>
      <c r="P739" s="656" t="s">
        <v>47</v>
      </c>
      <c r="Q739" s="657">
        <v>0</v>
      </c>
      <c r="R739" s="657">
        <v>0</v>
      </c>
      <c r="S739" s="657">
        <v>0</v>
      </c>
      <c r="T739" s="657">
        <v>0</v>
      </c>
      <c r="U739" s="657">
        <v>0</v>
      </c>
      <c r="V739" s="655">
        <v>2021</v>
      </c>
      <c r="W739" s="659"/>
      <c r="X739" s="660" t="str">
        <f t="shared" si="35"/>
        <v/>
      </c>
      <c r="Y739" s="661" t="str">
        <f t="shared" si="33"/>
        <v/>
      </c>
      <c r="Z739" s="661" t="str">
        <f t="shared" si="34"/>
        <v/>
      </c>
    </row>
    <row r="740" spans="1:26" s="128" customFormat="1" ht="25" hidden="1">
      <c r="A740" s="655">
        <v>50449</v>
      </c>
      <c r="B740" s="656" t="s">
        <v>54</v>
      </c>
      <c r="C740" s="655" t="s">
        <v>2793</v>
      </c>
      <c r="D740" s="656" t="s">
        <v>886</v>
      </c>
      <c r="E740" s="656" t="s">
        <v>887</v>
      </c>
      <c r="F740" s="655">
        <v>9245</v>
      </c>
      <c r="G740" s="656" t="s">
        <v>57</v>
      </c>
      <c r="H740" s="656" t="s">
        <v>1182</v>
      </c>
      <c r="I740" s="656" t="s">
        <v>58</v>
      </c>
      <c r="J740" s="655">
        <v>22</v>
      </c>
      <c r="K740" s="655">
        <v>3</v>
      </c>
      <c r="L740" s="656" t="s">
        <v>55</v>
      </c>
      <c r="M740" s="656" t="s">
        <v>41</v>
      </c>
      <c r="N740" s="656" t="s">
        <v>39</v>
      </c>
      <c r="O740" s="656" t="s">
        <v>39</v>
      </c>
      <c r="P740" s="656" t="s">
        <v>1037</v>
      </c>
      <c r="Q740" s="657">
        <v>361425</v>
      </c>
      <c r="R740" s="657">
        <v>353962</v>
      </c>
      <c r="S740" s="657">
        <v>377840</v>
      </c>
      <c r="T740" s="657">
        <v>369778</v>
      </c>
      <c r="U740" s="657">
        <v>28974.87</v>
      </c>
      <c r="V740" s="655">
        <v>2021</v>
      </c>
      <c r="W740" s="659"/>
      <c r="X740" s="660">
        <f t="shared" si="35"/>
        <v>12.762024471550692</v>
      </c>
      <c r="Y740" s="661" t="str">
        <f t="shared" si="33"/>
        <v/>
      </c>
      <c r="Z740" s="661" t="str">
        <f t="shared" si="34"/>
        <v/>
      </c>
    </row>
    <row r="741" spans="1:26" s="128" customFormat="1" ht="25" hidden="1">
      <c r="A741" s="655">
        <v>50450</v>
      </c>
      <c r="B741" s="656" t="s">
        <v>54</v>
      </c>
      <c r="C741" s="655" t="s">
        <v>2793</v>
      </c>
      <c r="D741" s="656" t="s">
        <v>888</v>
      </c>
      <c r="E741" s="656" t="s">
        <v>889</v>
      </c>
      <c r="F741" s="655">
        <v>9244</v>
      </c>
      <c r="G741" s="656" t="s">
        <v>57</v>
      </c>
      <c r="H741" s="656" t="s">
        <v>1182</v>
      </c>
      <c r="I741" s="656" t="s">
        <v>58</v>
      </c>
      <c r="J741" s="655">
        <v>22</v>
      </c>
      <c r="K741" s="655">
        <v>3</v>
      </c>
      <c r="L741" s="656" t="s">
        <v>55</v>
      </c>
      <c r="M741" s="656" t="s">
        <v>38</v>
      </c>
      <c r="N741" s="656" t="s">
        <v>46</v>
      </c>
      <c r="O741" s="656" t="s">
        <v>46</v>
      </c>
      <c r="P741" s="656" t="s">
        <v>47</v>
      </c>
      <c r="Q741" s="657">
        <v>0</v>
      </c>
      <c r="R741" s="657">
        <v>0</v>
      </c>
      <c r="S741" s="657">
        <v>0</v>
      </c>
      <c r="T741" s="657">
        <v>0</v>
      </c>
      <c r="U741" s="657">
        <v>2.04</v>
      </c>
      <c r="V741" s="655">
        <v>2021</v>
      </c>
      <c r="W741" s="659"/>
      <c r="X741" s="660" t="str">
        <f t="shared" si="35"/>
        <v/>
      </c>
      <c r="Y741" s="661" t="str">
        <f t="shared" si="33"/>
        <v/>
      </c>
      <c r="Z741" s="661" t="str">
        <f t="shared" si="34"/>
        <v/>
      </c>
    </row>
    <row r="742" spans="1:26" s="128" customFormat="1" ht="25" hidden="1">
      <c r="A742" s="655">
        <v>50450</v>
      </c>
      <c r="B742" s="656" t="s">
        <v>54</v>
      </c>
      <c r="C742" s="655" t="s">
        <v>2793</v>
      </c>
      <c r="D742" s="656" t="s">
        <v>888</v>
      </c>
      <c r="E742" s="656" t="s">
        <v>889</v>
      </c>
      <c r="F742" s="655">
        <v>9244</v>
      </c>
      <c r="G742" s="656" t="s">
        <v>57</v>
      </c>
      <c r="H742" s="656" t="s">
        <v>1182</v>
      </c>
      <c r="I742" s="656" t="s">
        <v>58</v>
      </c>
      <c r="J742" s="655">
        <v>22</v>
      </c>
      <c r="K742" s="655">
        <v>3</v>
      </c>
      <c r="L742" s="656" t="s">
        <v>55</v>
      </c>
      <c r="M742" s="656" t="s">
        <v>38</v>
      </c>
      <c r="N742" s="656" t="s">
        <v>39</v>
      </c>
      <c r="O742" s="656" t="s">
        <v>39</v>
      </c>
      <c r="P742" s="656" t="s">
        <v>1037</v>
      </c>
      <c r="Q742" s="657">
        <v>7987</v>
      </c>
      <c r="R742" s="657">
        <v>7987</v>
      </c>
      <c r="S742" s="657">
        <v>8222</v>
      </c>
      <c r="T742" s="657">
        <v>8222</v>
      </c>
      <c r="U742" s="657">
        <v>7449.96</v>
      </c>
      <c r="V742" s="655">
        <v>2021</v>
      </c>
      <c r="W742" s="659"/>
      <c r="X742" s="660">
        <f t="shared" si="35"/>
        <v>1.1036300866044919</v>
      </c>
      <c r="Y742" s="661" t="str">
        <f t="shared" si="33"/>
        <v/>
      </c>
      <c r="Z742" s="661" t="str">
        <f t="shared" si="34"/>
        <v/>
      </c>
    </row>
    <row r="743" spans="1:26" s="128" customFormat="1" ht="25" hidden="1">
      <c r="A743" s="655">
        <v>50450</v>
      </c>
      <c r="B743" s="656" t="s">
        <v>54</v>
      </c>
      <c r="C743" s="655" t="s">
        <v>2793</v>
      </c>
      <c r="D743" s="656" t="s">
        <v>888</v>
      </c>
      <c r="E743" s="656" t="s">
        <v>889</v>
      </c>
      <c r="F743" s="655">
        <v>9244</v>
      </c>
      <c r="G743" s="656" t="s">
        <v>57</v>
      </c>
      <c r="H743" s="656" t="s">
        <v>1182</v>
      </c>
      <c r="I743" s="656" t="s">
        <v>58</v>
      </c>
      <c r="J743" s="655">
        <v>22</v>
      </c>
      <c r="K743" s="655">
        <v>3</v>
      </c>
      <c r="L743" s="656" t="s">
        <v>55</v>
      </c>
      <c r="M743" s="656" t="s">
        <v>41</v>
      </c>
      <c r="N743" s="656" t="s">
        <v>46</v>
      </c>
      <c r="O743" s="656" t="s">
        <v>46</v>
      </c>
      <c r="P743" s="656" t="s">
        <v>47</v>
      </c>
      <c r="Q743" s="657">
        <v>11</v>
      </c>
      <c r="R743" s="657">
        <v>11</v>
      </c>
      <c r="S743" s="657">
        <v>61</v>
      </c>
      <c r="T743" s="657">
        <v>61</v>
      </c>
      <c r="U743" s="657">
        <v>4.67</v>
      </c>
      <c r="V743" s="655">
        <v>2021</v>
      </c>
      <c r="W743" s="659"/>
      <c r="X743" s="660">
        <f t="shared" si="35"/>
        <v>13.062098501070665</v>
      </c>
      <c r="Y743" s="661" t="str">
        <f t="shared" si="33"/>
        <v/>
      </c>
      <c r="Z743" s="661" t="str">
        <f t="shared" si="34"/>
        <v/>
      </c>
    </row>
    <row r="744" spans="1:26" s="128" customFormat="1" ht="25" hidden="1">
      <c r="A744" s="655">
        <v>50450</v>
      </c>
      <c r="B744" s="656" t="s">
        <v>54</v>
      </c>
      <c r="C744" s="655" t="s">
        <v>2793</v>
      </c>
      <c r="D744" s="656" t="s">
        <v>888</v>
      </c>
      <c r="E744" s="656" t="s">
        <v>889</v>
      </c>
      <c r="F744" s="655">
        <v>9244</v>
      </c>
      <c r="G744" s="656" t="s">
        <v>57</v>
      </c>
      <c r="H744" s="656" t="s">
        <v>1182</v>
      </c>
      <c r="I744" s="656" t="s">
        <v>58</v>
      </c>
      <c r="J744" s="655">
        <v>22</v>
      </c>
      <c r="K744" s="655">
        <v>3</v>
      </c>
      <c r="L744" s="656" t="s">
        <v>55</v>
      </c>
      <c r="M744" s="656" t="s">
        <v>41</v>
      </c>
      <c r="N744" s="656" t="s">
        <v>39</v>
      </c>
      <c r="O744" s="656" t="s">
        <v>39</v>
      </c>
      <c r="P744" s="656" t="s">
        <v>1037</v>
      </c>
      <c r="Q744" s="657">
        <v>209774</v>
      </c>
      <c r="R744" s="657">
        <v>208909</v>
      </c>
      <c r="S744" s="657">
        <v>215974</v>
      </c>
      <c r="T744" s="657">
        <v>215081</v>
      </c>
      <c r="U744" s="657">
        <v>16202.33</v>
      </c>
      <c r="V744" s="655">
        <v>2021</v>
      </c>
      <c r="W744" s="659"/>
      <c r="X744" s="660">
        <f t="shared" si="35"/>
        <v>13.274695676486036</v>
      </c>
      <c r="Y744" s="661" t="str">
        <f t="shared" si="33"/>
        <v/>
      </c>
      <c r="Z744" s="661" t="str">
        <f t="shared" si="34"/>
        <v/>
      </c>
    </row>
    <row r="745" spans="1:26" s="128" customFormat="1" ht="25" hidden="1">
      <c r="A745" s="655">
        <v>50451</v>
      </c>
      <c r="B745" s="656" t="s">
        <v>54</v>
      </c>
      <c r="C745" s="655" t="s">
        <v>2793</v>
      </c>
      <c r="D745" s="656" t="s">
        <v>890</v>
      </c>
      <c r="E745" s="656" t="s">
        <v>891</v>
      </c>
      <c r="F745" s="655">
        <v>9243</v>
      </c>
      <c r="G745" s="656" t="s">
        <v>57</v>
      </c>
      <c r="H745" s="656" t="s">
        <v>1182</v>
      </c>
      <c r="I745" s="656" t="s">
        <v>58</v>
      </c>
      <c r="J745" s="655">
        <v>22</v>
      </c>
      <c r="K745" s="655">
        <v>3</v>
      </c>
      <c r="L745" s="656" t="s">
        <v>55</v>
      </c>
      <c r="M745" s="656" t="s">
        <v>38</v>
      </c>
      <c r="N745" s="656" t="s">
        <v>46</v>
      </c>
      <c r="O745" s="656" t="s">
        <v>46</v>
      </c>
      <c r="P745" s="656" t="s">
        <v>47</v>
      </c>
      <c r="Q745" s="657">
        <v>0</v>
      </c>
      <c r="R745" s="657">
        <v>0</v>
      </c>
      <c r="S745" s="657">
        <v>0</v>
      </c>
      <c r="T745" s="657">
        <v>0</v>
      </c>
      <c r="U745" s="657">
        <v>3.5150000000000001</v>
      </c>
      <c r="V745" s="655">
        <v>2021</v>
      </c>
      <c r="W745" s="659"/>
      <c r="X745" s="660" t="str">
        <f t="shared" si="35"/>
        <v/>
      </c>
      <c r="Y745" s="661" t="str">
        <f t="shared" si="33"/>
        <v/>
      </c>
      <c r="Z745" s="661" t="str">
        <f t="shared" si="34"/>
        <v/>
      </c>
    </row>
    <row r="746" spans="1:26" s="128" customFormat="1" ht="25" hidden="1">
      <c r="A746" s="655">
        <v>50451</v>
      </c>
      <c r="B746" s="656" t="s">
        <v>54</v>
      </c>
      <c r="C746" s="655" t="s">
        <v>2793</v>
      </c>
      <c r="D746" s="656" t="s">
        <v>890</v>
      </c>
      <c r="E746" s="656" t="s">
        <v>891</v>
      </c>
      <c r="F746" s="655">
        <v>9243</v>
      </c>
      <c r="G746" s="656" t="s">
        <v>57</v>
      </c>
      <c r="H746" s="656" t="s">
        <v>1182</v>
      </c>
      <c r="I746" s="656" t="s">
        <v>58</v>
      </c>
      <c r="J746" s="655">
        <v>22</v>
      </c>
      <c r="K746" s="655">
        <v>3</v>
      </c>
      <c r="L746" s="656" t="s">
        <v>55</v>
      </c>
      <c r="M746" s="656" t="s">
        <v>38</v>
      </c>
      <c r="N746" s="656" t="s">
        <v>39</v>
      </c>
      <c r="O746" s="656" t="s">
        <v>39</v>
      </c>
      <c r="P746" s="656" t="s">
        <v>1037</v>
      </c>
      <c r="Q746" s="657">
        <v>6255</v>
      </c>
      <c r="R746" s="657">
        <v>6255</v>
      </c>
      <c r="S746" s="657">
        <v>6465</v>
      </c>
      <c r="T746" s="657">
        <v>6465</v>
      </c>
      <c r="U746" s="657">
        <v>6128.4849999999997</v>
      </c>
      <c r="V746" s="655">
        <v>2021</v>
      </c>
      <c r="W746" s="659"/>
      <c r="X746" s="660">
        <f t="shared" si="35"/>
        <v>1.0549099818307461</v>
      </c>
      <c r="Y746" s="661" t="str">
        <f t="shared" si="33"/>
        <v/>
      </c>
      <c r="Z746" s="661" t="str">
        <f t="shared" si="34"/>
        <v/>
      </c>
    </row>
    <row r="747" spans="1:26" s="128" customFormat="1" ht="25" hidden="1">
      <c r="A747" s="655">
        <v>50451</v>
      </c>
      <c r="B747" s="656" t="s">
        <v>54</v>
      </c>
      <c r="C747" s="655" t="s">
        <v>2793</v>
      </c>
      <c r="D747" s="656" t="s">
        <v>890</v>
      </c>
      <c r="E747" s="656" t="s">
        <v>891</v>
      </c>
      <c r="F747" s="655">
        <v>9243</v>
      </c>
      <c r="G747" s="656" t="s">
        <v>57</v>
      </c>
      <c r="H747" s="656" t="s">
        <v>1182</v>
      </c>
      <c r="I747" s="656" t="s">
        <v>58</v>
      </c>
      <c r="J747" s="655">
        <v>22</v>
      </c>
      <c r="K747" s="655">
        <v>3</v>
      </c>
      <c r="L747" s="656" t="s">
        <v>55</v>
      </c>
      <c r="M747" s="656" t="s">
        <v>41</v>
      </c>
      <c r="N747" s="656" t="s">
        <v>46</v>
      </c>
      <c r="O747" s="656" t="s">
        <v>46</v>
      </c>
      <c r="P747" s="656" t="s">
        <v>47</v>
      </c>
      <c r="Q747" s="657">
        <v>24</v>
      </c>
      <c r="R747" s="657">
        <v>24</v>
      </c>
      <c r="S747" s="657">
        <v>134</v>
      </c>
      <c r="T747" s="657">
        <v>134</v>
      </c>
      <c r="U747" s="657">
        <v>9.6199999999999992</v>
      </c>
      <c r="V747" s="655">
        <v>2021</v>
      </c>
      <c r="W747" s="659"/>
      <c r="X747" s="660">
        <f t="shared" si="35"/>
        <v>13.929313929313931</v>
      </c>
      <c r="Y747" s="661" t="str">
        <f t="shared" si="33"/>
        <v/>
      </c>
      <c r="Z747" s="661" t="str">
        <f t="shared" si="34"/>
        <v/>
      </c>
    </row>
    <row r="748" spans="1:26" s="128" customFormat="1" ht="25" hidden="1">
      <c r="A748" s="655">
        <v>50451</v>
      </c>
      <c r="B748" s="656" t="s">
        <v>54</v>
      </c>
      <c r="C748" s="655" t="s">
        <v>2793</v>
      </c>
      <c r="D748" s="656" t="s">
        <v>890</v>
      </c>
      <c r="E748" s="656" t="s">
        <v>891</v>
      </c>
      <c r="F748" s="655">
        <v>9243</v>
      </c>
      <c r="G748" s="656" t="s">
        <v>57</v>
      </c>
      <c r="H748" s="656" t="s">
        <v>1182</v>
      </c>
      <c r="I748" s="656" t="s">
        <v>58</v>
      </c>
      <c r="J748" s="655">
        <v>22</v>
      </c>
      <c r="K748" s="655">
        <v>3</v>
      </c>
      <c r="L748" s="656" t="s">
        <v>55</v>
      </c>
      <c r="M748" s="656" t="s">
        <v>41</v>
      </c>
      <c r="N748" s="656" t="s">
        <v>39</v>
      </c>
      <c r="O748" s="656" t="s">
        <v>39</v>
      </c>
      <c r="P748" s="656" t="s">
        <v>1037</v>
      </c>
      <c r="Q748" s="657">
        <v>211848</v>
      </c>
      <c r="R748" s="657">
        <v>211848</v>
      </c>
      <c r="S748" s="657">
        <v>218914</v>
      </c>
      <c r="T748" s="657">
        <v>218914</v>
      </c>
      <c r="U748" s="657">
        <v>16114.38</v>
      </c>
      <c r="V748" s="655">
        <v>2021</v>
      </c>
      <c r="W748" s="659"/>
      <c r="X748" s="660">
        <f t="shared" si="35"/>
        <v>13.585009165726513</v>
      </c>
      <c r="Y748" s="661" t="str">
        <f t="shared" si="33"/>
        <v/>
      </c>
      <c r="Z748" s="661" t="str">
        <f t="shared" si="34"/>
        <v/>
      </c>
    </row>
    <row r="749" spans="1:26" s="128" customFormat="1" ht="25" hidden="1">
      <c r="A749" s="655">
        <v>50458</v>
      </c>
      <c r="B749" s="656" t="s">
        <v>54</v>
      </c>
      <c r="C749" s="655" t="s">
        <v>2793</v>
      </c>
      <c r="D749" s="656" t="s">
        <v>892</v>
      </c>
      <c r="E749" s="656" t="s">
        <v>893</v>
      </c>
      <c r="F749" s="655">
        <v>9263</v>
      </c>
      <c r="G749" s="656" t="s">
        <v>57</v>
      </c>
      <c r="H749" s="656" t="s">
        <v>1182</v>
      </c>
      <c r="I749" s="656" t="s">
        <v>58</v>
      </c>
      <c r="J749" s="655">
        <v>22</v>
      </c>
      <c r="K749" s="655">
        <v>3</v>
      </c>
      <c r="L749" s="656" t="s">
        <v>55</v>
      </c>
      <c r="M749" s="656" t="s">
        <v>38</v>
      </c>
      <c r="N749" s="656" t="s">
        <v>46</v>
      </c>
      <c r="O749" s="656" t="s">
        <v>46</v>
      </c>
      <c r="P749" s="656" t="s">
        <v>47</v>
      </c>
      <c r="Q749" s="657">
        <v>0</v>
      </c>
      <c r="R749" s="657">
        <v>0</v>
      </c>
      <c r="S749" s="657">
        <v>0</v>
      </c>
      <c r="T749" s="657">
        <v>0</v>
      </c>
      <c r="U749" s="657">
        <v>0</v>
      </c>
      <c r="V749" s="655">
        <v>2021</v>
      </c>
      <c r="W749" s="659"/>
      <c r="X749" s="660" t="str">
        <f t="shared" si="35"/>
        <v/>
      </c>
      <c r="Y749" s="661" t="str">
        <f t="shared" si="33"/>
        <v/>
      </c>
      <c r="Z749" s="661" t="str">
        <f t="shared" si="34"/>
        <v/>
      </c>
    </row>
    <row r="750" spans="1:26" s="128" customFormat="1" ht="25" hidden="1">
      <c r="A750" s="655">
        <v>50458</v>
      </c>
      <c r="B750" s="656" t="s">
        <v>54</v>
      </c>
      <c r="C750" s="655" t="s">
        <v>2793</v>
      </c>
      <c r="D750" s="656" t="s">
        <v>892</v>
      </c>
      <c r="E750" s="656" t="s">
        <v>893</v>
      </c>
      <c r="F750" s="655">
        <v>9263</v>
      </c>
      <c r="G750" s="656" t="s">
        <v>57</v>
      </c>
      <c r="H750" s="656" t="s">
        <v>1182</v>
      </c>
      <c r="I750" s="656" t="s">
        <v>58</v>
      </c>
      <c r="J750" s="655">
        <v>22</v>
      </c>
      <c r="K750" s="655">
        <v>3</v>
      </c>
      <c r="L750" s="656" t="s">
        <v>55</v>
      </c>
      <c r="M750" s="656" t="s">
        <v>38</v>
      </c>
      <c r="N750" s="656" t="s">
        <v>76</v>
      </c>
      <c r="O750" s="656" t="s">
        <v>67</v>
      </c>
      <c r="P750" s="656" t="s">
        <v>47</v>
      </c>
      <c r="Q750" s="657">
        <v>0</v>
      </c>
      <c r="R750" s="657">
        <v>0</v>
      </c>
      <c r="S750" s="657">
        <v>0</v>
      </c>
      <c r="T750" s="657">
        <v>0</v>
      </c>
      <c r="U750" s="657">
        <v>0</v>
      </c>
      <c r="V750" s="655">
        <v>2021</v>
      </c>
      <c r="W750" s="659"/>
      <c r="X750" s="660" t="str">
        <f t="shared" si="35"/>
        <v/>
      </c>
      <c r="Y750" s="661" t="str">
        <f t="shared" si="33"/>
        <v/>
      </c>
      <c r="Z750" s="661" t="str">
        <f t="shared" si="34"/>
        <v/>
      </c>
    </row>
    <row r="751" spans="1:26" s="128" customFormat="1" ht="25" hidden="1">
      <c r="A751" s="655">
        <v>50458</v>
      </c>
      <c r="B751" s="656" t="s">
        <v>54</v>
      </c>
      <c r="C751" s="655" t="s">
        <v>2793</v>
      </c>
      <c r="D751" s="656" t="s">
        <v>892</v>
      </c>
      <c r="E751" s="656" t="s">
        <v>893</v>
      </c>
      <c r="F751" s="655">
        <v>9263</v>
      </c>
      <c r="G751" s="656" t="s">
        <v>57</v>
      </c>
      <c r="H751" s="656" t="s">
        <v>1182</v>
      </c>
      <c r="I751" s="656" t="s">
        <v>58</v>
      </c>
      <c r="J751" s="655">
        <v>22</v>
      </c>
      <c r="K751" s="655">
        <v>3</v>
      </c>
      <c r="L751" s="656" t="s">
        <v>55</v>
      </c>
      <c r="M751" s="656" t="s">
        <v>38</v>
      </c>
      <c r="N751" s="656" t="s">
        <v>39</v>
      </c>
      <c r="O751" s="656" t="s">
        <v>39</v>
      </c>
      <c r="P751" s="656" t="s">
        <v>1037</v>
      </c>
      <c r="Q751" s="657">
        <v>242166</v>
      </c>
      <c r="R751" s="657">
        <v>242166</v>
      </c>
      <c r="S751" s="657">
        <v>249254</v>
      </c>
      <c r="T751" s="657">
        <v>249254</v>
      </c>
      <c r="U751" s="657">
        <v>202027</v>
      </c>
      <c r="V751" s="655">
        <v>2021</v>
      </c>
      <c r="W751" s="659"/>
      <c r="X751" s="660">
        <f t="shared" si="35"/>
        <v>1.2337657837813758</v>
      </c>
      <c r="Y751" s="661" t="str">
        <f t="shared" si="33"/>
        <v/>
      </c>
      <c r="Z751" s="661" t="str">
        <f t="shared" si="34"/>
        <v/>
      </c>
    </row>
    <row r="752" spans="1:26" s="128" customFormat="1" ht="25" hidden="1">
      <c r="A752" s="655">
        <v>50458</v>
      </c>
      <c r="B752" s="656" t="s">
        <v>54</v>
      </c>
      <c r="C752" s="655" t="s">
        <v>2793</v>
      </c>
      <c r="D752" s="656" t="s">
        <v>892</v>
      </c>
      <c r="E752" s="656" t="s">
        <v>893</v>
      </c>
      <c r="F752" s="655">
        <v>9263</v>
      </c>
      <c r="G752" s="656" t="s">
        <v>57</v>
      </c>
      <c r="H752" s="656" t="s">
        <v>1182</v>
      </c>
      <c r="I752" s="656" t="s">
        <v>58</v>
      </c>
      <c r="J752" s="655">
        <v>22</v>
      </c>
      <c r="K752" s="655">
        <v>3</v>
      </c>
      <c r="L752" s="656" t="s">
        <v>55</v>
      </c>
      <c r="M752" s="656" t="s">
        <v>41</v>
      </c>
      <c r="N752" s="656" t="s">
        <v>46</v>
      </c>
      <c r="O752" s="656" t="s">
        <v>46</v>
      </c>
      <c r="P752" s="656" t="s">
        <v>47</v>
      </c>
      <c r="Q752" s="657">
        <v>0</v>
      </c>
      <c r="R752" s="657">
        <v>0</v>
      </c>
      <c r="S752" s="657">
        <v>0</v>
      </c>
      <c r="T752" s="657">
        <v>0</v>
      </c>
      <c r="U752" s="657">
        <v>0</v>
      </c>
      <c r="V752" s="655">
        <v>2021</v>
      </c>
      <c r="W752" s="659"/>
      <c r="X752" s="660" t="str">
        <f t="shared" si="35"/>
        <v/>
      </c>
      <c r="Y752" s="661" t="str">
        <f t="shared" si="33"/>
        <v/>
      </c>
      <c r="Z752" s="661" t="str">
        <f t="shared" si="34"/>
        <v/>
      </c>
    </row>
    <row r="753" spans="1:26" s="128" customFormat="1" ht="25" hidden="1">
      <c r="A753" s="655">
        <v>50458</v>
      </c>
      <c r="B753" s="656" t="s">
        <v>54</v>
      </c>
      <c r="C753" s="655" t="s">
        <v>2793</v>
      </c>
      <c r="D753" s="656" t="s">
        <v>892</v>
      </c>
      <c r="E753" s="656" t="s">
        <v>893</v>
      </c>
      <c r="F753" s="655">
        <v>9263</v>
      </c>
      <c r="G753" s="656" t="s">
        <v>57</v>
      </c>
      <c r="H753" s="656" t="s">
        <v>1182</v>
      </c>
      <c r="I753" s="656" t="s">
        <v>58</v>
      </c>
      <c r="J753" s="655">
        <v>22</v>
      </c>
      <c r="K753" s="655">
        <v>3</v>
      </c>
      <c r="L753" s="656" t="s">
        <v>55</v>
      </c>
      <c r="M753" s="656" t="s">
        <v>41</v>
      </c>
      <c r="N753" s="656" t="s">
        <v>76</v>
      </c>
      <c r="O753" s="656" t="s">
        <v>67</v>
      </c>
      <c r="P753" s="656" t="s">
        <v>47</v>
      </c>
      <c r="Q753" s="657">
        <v>0</v>
      </c>
      <c r="R753" s="657">
        <v>0</v>
      </c>
      <c r="S753" s="657">
        <v>0</v>
      </c>
      <c r="T753" s="657">
        <v>0</v>
      </c>
      <c r="U753" s="657">
        <v>0</v>
      </c>
      <c r="V753" s="655">
        <v>2021</v>
      </c>
      <c r="W753" s="659"/>
      <c r="X753" s="660" t="str">
        <f t="shared" si="35"/>
        <v/>
      </c>
      <c r="Y753" s="661" t="str">
        <f t="shared" si="33"/>
        <v/>
      </c>
      <c r="Z753" s="661" t="str">
        <f t="shared" si="34"/>
        <v/>
      </c>
    </row>
    <row r="754" spans="1:26" s="128" customFormat="1" ht="25" hidden="1">
      <c r="A754" s="655">
        <v>50458</v>
      </c>
      <c r="B754" s="656" t="s">
        <v>54</v>
      </c>
      <c r="C754" s="655" t="s">
        <v>2793</v>
      </c>
      <c r="D754" s="656" t="s">
        <v>892</v>
      </c>
      <c r="E754" s="656" t="s">
        <v>893</v>
      </c>
      <c r="F754" s="655">
        <v>9263</v>
      </c>
      <c r="G754" s="656" t="s">
        <v>57</v>
      </c>
      <c r="H754" s="656" t="s">
        <v>1182</v>
      </c>
      <c r="I754" s="656" t="s">
        <v>58</v>
      </c>
      <c r="J754" s="655">
        <v>22</v>
      </c>
      <c r="K754" s="655">
        <v>3</v>
      </c>
      <c r="L754" s="656" t="s">
        <v>55</v>
      </c>
      <c r="M754" s="656" t="s">
        <v>41</v>
      </c>
      <c r="N754" s="656" t="s">
        <v>39</v>
      </c>
      <c r="O754" s="656" t="s">
        <v>39</v>
      </c>
      <c r="P754" s="656" t="s">
        <v>1037</v>
      </c>
      <c r="Q754" s="657">
        <v>4137467</v>
      </c>
      <c r="R754" s="657">
        <v>3958195</v>
      </c>
      <c r="S754" s="657">
        <v>4259440</v>
      </c>
      <c r="T754" s="657">
        <v>4074895</v>
      </c>
      <c r="U754" s="657">
        <v>352472</v>
      </c>
      <c r="V754" s="655">
        <v>2021</v>
      </c>
      <c r="W754" s="659"/>
      <c r="X754" s="660">
        <f t="shared" si="35"/>
        <v>11.560904128554892</v>
      </c>
      <c r="Y754" s="661" t="str">
        <f t="shared" si="33"/>
        <v/>
      </c>
      <c r="Z754" s="661" t="str">
        <f t="shared" si="34"/>
        <v/>
      </c>
    </row>
    <row r="755" spans="1:26" s="128" customFormat="1" ht="25" hidden="1">
      <c r="A755" s="655">
        <v>50472</v>
      </c>
      <c r="B755" s="656" t="s">
        <v>54</v>
      </c>
      <c r="C755" s="655" t="s">
        <v>2793</v>
      </c>
      <c r="D755" s="656" t="s">
        <v>1906</v>
      </c>
      <c r="E755" s="656" t="s">
        <v>198</v>
      </c>
      <c r="F755" s="655">
        <v>470</v>
      </c>
      <c r="G755" s="656" t="s">
        <v>57</v>
      </c>
      <c r="H755" s="656" t="s">
        <v>1182</v>
      </c>
      <c r="I755" s="656" t="s">
        <v>58</v>
      </c>
      <c r="J755" s="655">
        <v>22</v>
      </c>
      <c r="K755" s="655">
        <v>3</v>
      </c>
      <c r="L755" s="656" t="s">
        <v>55</v>
      </c>
      <c r="M755" s="656" t="s">
        <v>42</v>
      </c>
      <c r="N755" s="656" t="s">
        <v>46</v>
      </c>
      <c r="O755" s="656" t="s">
        <v>46</v>
      </c>
      <c r="P755" s="656" t="s">
        <v>47</v>
      </c>
      <c r="Q755" s="657">
        <v>0</v>
      </c>
      <c r="R755" s="657">
        <v>0</v>
      </c>
      <c r="S755" s="657">
        <v>0</v>
      </c>
      <c r="T755" s="657">
        <v>0</v>
      </c>
      <c r="U755" s="657">
        <v>0</v>
      </c>
      <c r="V755" s="655">
        <v>2021</v>
      </c>
      <c r="W755" s="659"/>
      <c r="X755" s="660" t="str">
        <f t="shared" si="35"/>
        <v/>
      </c>
      <c r="Y755" s="661" t="str">
        <f t="shared" si="33"/>
        <v/>
      </c>
      <c r="Z755" s="661" t="str">
        <f t="shared" si="34"/>
        <v/>
      </c>
    </row>
    <row r="756" spans="1:26" s="128" customFormat="1" ht="25" hidden="1">
      <c r="A756" s="655">
        <v>50472</v>
      </c>
      <c r="B756" s="656" t="s">
        <v>54</v>
      </c>
      <c r="C756" s="655" t="s">
        <v>2793</v>
      </c>
      <c r="D756" s="656" t="s">
        <v>1906</v>
      </c>
      <c r="E756" s="656" t="s">
        <v>198</v>
      </c>
      <c r="F756" s="655">
        <v>470</v>
      </c>
      <c r="G756" s="656" t="s">
        <v>57</v>
      </c>
      <c r="H756" s="656" t="s">
        <v>1182</v>
      </c>
      <c r="I756" s="656" t="s">
        <v>58</v>
      </c>
      <c r="J756" s="655">
        <v>22</v>
      </c>
      <c r="K756" s="655">
        <v>3</v>
      </c>
      <c r="L756" s="656" t="s">
        <v>55</v>
      </c>
      <c r="M756" s="656" t="s">
        <v>42</v>
      </c>
      <c r="N756" s="656" t="s">
        <v>16</v>
      </c>
      <c r="O756" s="656" t="s">
        <v>64</v>
      </c>
      <c r="P756" s="656" t="s">
        <v>45</v>
      </c>
      <c r="Q756" s="657">
        <v>500324</v>
      </c>
      <c r="R756" s="657">
        <v>70305</v>
      </c>
      <c r="S756" s="657">
        <v>3616010</v>
      </c>
      <c r="T756" s="657">
        <v>507932</v>
      </c>
      <c r="U756" s="657">
        <v>79082.733999999997</v>
      </c>
      <c r="V756" s="655">
        <v>2021</v>
      </c>
      <c r="W756" s="659"/>
      <c r="X756" s="660">
        <f t="shared" si="35"/>
        <v>6.4227926161480458</v>
      </c>
      <c r="Y756" s="661" t="str">
        <f t="shared" si="33"/>
        <v/>
      </c>
      <c r="Z756" s="661" t="str">
        <f t="shared" si="34"/>
        <v/>
      </c>
    </row>
    <row r="757" spans="1:26" s="128" customFormat="1" ht="25" hidden="1">
      <c r="A757" s="655">
        <v>50472</v>
      </c>
      <c r="B757" s="656" t="s">
        <v>54</v>
      </c>
      <c r="C757" s="655" t="s">
        <v>2793</v>
      </c>
      <c r="D757" s="656" t="s">
        <v>1906</v>
      </c>
      <c r="E757" s="656" t="s">
        <v>198</v>
      </c>
      <c r="F757" s="655">
        <v>470</v>
      </c>
      <c r="G757" s="656" t="s">
        <v>57</v>
      </c>
      <c r="H757" s="656" t="s">
        <v>1182</v>
      </c>
      <c r="I757" s="656" t="s">
        <v>58</v>
      </c>
      <c r="J757" s="655">
        <v>22</v>
      </c>
      <c r="K757" s="655">
        <v>3</v>
      </c>
      <c r="L757" s="656" t="s">
        <v>55</v>
      </c>
      <c r="M757" s="656" t="s">
        <v>42</v>
      </c>
      <c r="N757" s="656" t="s">
        <v>17</v>
      </c>
      <c r="O757" s="656" t="s">
        <v>82</v>
      </c>
      <c r="P757" s="656" t="s">
        <v>45</v>
      </c>
      <c r="Q757" s="657">
        <v>319879</v>
      </c>
      <c r="R757" s="657">
        <v>44949</v>
      </c>
      <c r="S757" s="657">
        <v>4419506</v>
      </c>
      <c r="T757" s="657">
        <v>620800</v>
      </c>
      <c r="U757" s="657">
        <v>96655.512000000002</v>
      </c>
      <c r="V757" s="655">
        <v>2021</v>
      </c>
      <c r="W757" s="659"/>
      <c r="X757" s="660">
        <f t="shared" si="35"/>
        <v>6.4228101135090983</v>
      </c>
      <c r="Y757" s="661" t="str">
        <f t="shared" si="33"/>
        <v/>
      </c>
      <c r="Z757" s="661" t="str">
        <f t="shared" si="34"/>
        <v/>
      </c>
    </row>
    <row r="758" spans="1:26" s="128" customFormat="1" ht="25" hidden="1">
      <c r="A758" s="655">
        <v>50472</v>
      </c>
      <c r="B758" s="656" t="s">
        <v>54</v>
      </c>
      <c r="C758" s="655" t="s">
        <v>2793</v>
      </c>
      <c r="D758" s="656" t="s">
        <v>1906</v>
      </c>
      <c r="E758" s="656" t="s">
        <v>198</v>
      </c>
      <c r="F758" s="655">
        <v>470</v>
      </c>
      <c r="G758" s="656" t="s">
        <v>57</v>
      </c>
      <c r="H758" s="656" t="s">
        <v>1182</v>
      </c>
      <c r="I758" s="656" t="s">
        <v>58</v>
      </c>
      <c r="J758" s="655">
        <v>22</v>
      </c>
      <c r="K758" s="655">
        <v>3</v>
      </c>
      <c r="L758" s="656" t="s">
        <v>55</v>
      </c>
      <c r="M758" s="656" t="s">
        <v>42</v>
      </c>
      <c r="N758" s="656" t="s">
        <v>39</v>
      </c>
      <c r="O758" s="656" t="s">
        <v>39</v>
      </c>
      <c r="P758" s="656" t="s">
        <v>1037</v>
      </c>
      <c r="Q758" s="657">
        <v>620367</v>
      </c>
      <c r="R758" s="657">
        <v>86387</v>
      </c>
      <c r="S758" s="657">
        <v>620367</v>
      </c>
      <c r="T758" s="657">
        <v>86387</v>
      </c>
      <c r="U758" s="657">
        <v>13391.754000000001</v>
      </c>
      <c r="V758" s="655">
        <v>2021</v>
      </c>
      <c r="W758" s="659"/>
      <c r="X758" s="660">
        <f t="shared" si="35"/>
        <v>6.4507606695881652</v>
      </c>
      <c r="Y758" s="661" t="str">
        <f t="shared" si="33"/>
        <v/>
      </c>
      <c r="Z758" s="661" t="str">
        <f t="shared" si="34"/>
        <v/>
      </c>
    </row>
    <row r="759" spans="1:26" s="128" customFormat="1" ht="25" hidden="1">
      <c r="A759" s="655">
        <v>50498</v>
      </c>
      <c r="B759" s="656" t="s">
        <v>54</v>
      </c>
      <c r="C759" s="655" t="s">
        <v>2793</v>
      </c>
      <c r="D759" s="656" t="s">
        <v>241</v>
      </c>
      <c r="E759" s="656" t="s">
        <v>241</v>
      </c>
      <c r="F759" s="655">
        <v>2956</v>
      </c>
      <c r="G759" s="656" t="s">
        <v>41</v>
      </c>
      <c r="H759" s="656" t="s">
        <v>1183</v>
      </c>
      <c r="I759" s="656" t="s">
        <v>58</v>
      </c>
      <c r="J759" s="655">
        <v>22</v>
      </c>
      <c r="K759" s="655">
        <v>3</v>
      </c>
      <c r="L759" s="656" t="s">
        <v>55</v>
      </c>
      <c r="M759" s="656" t="s">
        <v>38</v>
      </c>
      <c r="N759" s="656" t="s">
        <v>46</v>
      </c>
      <c r="O759" s="656" t="s">
        <v>46</v>
      </c>
      <c r="P759" s="656" t="s">
        <v>47</v>
      </c>
      <c r="Q759" s="657">
        <v>0</v>
      </c>
      <c r="R759" s="657">
        <v>0</v>
      </c>
      <c r="S759" s="657">
        <v>0</v>
      </c>
      <c r="T759" s="657">
        <v>0</v>
      </c>
      <c r="U759" s="657">
        <v>0</v>
      </c>
      <c r="V759" s="655">
        <v>2021</v>
      </c>
      <c r="W759" s="659"/>
      <c r="X759" s="660" t="str">
        <f t="shared" si="35"/>
        <v/>
      </c>
      <c r="Y759" s="661" t="str">
        <f t="shared" si="33"/>
        <v/>
      </c>
      <c r="Z759" s="661" t="str">
        <f t="shared" si="34"/>
        <v/>
      </c>
    </row>
    <row r="760" spans="1:26" s="128" customFormat="1" ht="25" hidden="1">
      <c r="A760" s="655">
        <v>50498</v>
      </c>
      <c r="B760" s="656" t="s">
        <v>54</v>
      </c>
      <c r="C760" s="655" t="s">
        <v>2793</v>
      </c>
      <c r="D760" s="656" t="s">
        <v>241</v>
      </c>
      <c r="E760" s="656" t="s">
        <v>241</v>
      </c>
      <c r="F760" s="655">
        <v>2956</v>
      </c>
      <c r="G760" s="656" t="s">
        <v>41</v>
      </c>
      <c r="H760" s="656" t="s">
        <v>1183</v>
      </c>
      <c r="I760" s="656" t="s">
        <v>58</v>
      </c>
      <c r="J760" s="655">
        <v>22</v>
      </c>
      <c r="K760" s="655">
        <v>3</v>
      </c>
      <c r="L760" s="656" t="s">
        <v>55</v>
      </c>
      <c r="M760" s="656" t="s">
        <v>38</v>
      </c>
      <c r="N760" s="656" t="s">
        <v>39</v>
      </c>
      <c r="O760" s="656" t="s">
        <v>39</v>
      </c>
      <c r="P760" s="656" t="s">
        <v>1037</v>
      </c>
      <c r="Q760" s="657">
        <v>0</v>
      </c>
      <c r="R760" s="657">
        <v>0</v>
      </c>
      <c r="S760" s="657">
        <v>0</v>
      </c>
      <c r="T760" s="657">
        <v>0</v>
      </c>
      <c r="U760" s="657">
        <v>0</v>
      </c>
      <c r="V760" s="655">
        <v>2021</v>
      </c>
      <c r="W760" s="659"/>
      <c r="X760" s="660" t="str">
        <f t="shared" si="35"/>
        <v/>
      </c>
      <c r="Y760" s="661" t="str">
        <f t="shared" si="33"/>
        <v/>
      </c>
      <c r="Z760" s="661" t="str">
        <f t="shared" si="34"/>
        <v/>
      </c>
    </row>
    <row r="761" spans="1:26" s="128" customFormat="1" ht="25" hidden="1">
      <c r="A761" s="655">
        <v>50498</v>
      </c>
      <c r="B761" s="656" t="s">
        <v>54</v>
      </c>
      <c r="C761" s="655" t="s">
        <v>2793</v>
      </c>
      <c r="D761" s="656" t="s">
        <v>241</v>
      </c>
      <c r="E761" s="656" t="s">
        <v>241</v>
      </c>
      <c r="F761" s="655">
        <v>2956</v>
      </c>
      <c r="G761" s="656" t="s">
        <v>41</v>
      </c>
      <c r="H761" s="656" t="s">
        <v>1183</v>
      </c>
      <c r="I761" s="656" t="s">
        <v>58</v>
      </c>
      <c r="J761" s="655">
        <v>22</v>
      </c>
      <c r="K761" s="655">
        <v>3</v>
      </c>
      <c r="L761" s="656" t="s">
        <v>55</v>
      </c>
      <c r="M761" s="656" t="s">
        <v>41</v>
      </c>
      <c r="N761" s="656" t="s">
        <v>46</v>
      </c>
      <c r="O761" s="656" t="s">
        <v>46</v>
      </c>
      <c r="P761" s="656" t="s">
        <v>47</v>
      </c>
      <c r="Q761" s="657">
        <v>0</v>
      </c>
      <c r="R761" s="657">
        <v>0</v>
      </c>
      <c r="S761" s="657">
        <v>0</v>
      </c>
      <c r="T761" s="657">
        <v>0</v>
      </c>
      <c r="U761" s="657">
        <v>0</v>
      </c>
      <c r="V761" s="655">
        <v>2021</v>
      </c>
      <c r="W761" s="659"/>
      <c r="X761" s="660" t="str">
        <f t="shared" si="35"/>
        <v/>
      </c>
      <c r="Y761" s="661" t="str">
        <f t="shared" si="33"/>
        <v/>
      </c>
      <c r="Z761" s="661" t="str">
        <f t="shared" si="34"/>
        <v/>
      </c>
    </row>
    <row r="762" spans="1:26" s="128" customFormat="1" ht="25" hidden="1">
      <c r="A762" s="655">
        <v>50498</v>
      </c>
      <c r="B762" s="656" t="s">
        <v>54</v>
      </c>
      <c r="C762" s="655" t="s">
        <v>2793</v>
      </c>
      <c r="D762" s="656" t="s">
        <v>241</v>
      </c>
      <c r="E762" s="656" t="s">
        <v>241</v>
      </c>
      <c r="F762" s="655">
        <v>2956</v>
      </c>
      <c r="G762" s="656" t="s">
        <v>41</v>
      </c>
      <c r="H762" s="656" t="s">
        <v>1183</v>
      </c>
      <c r="I762" s="656" t="s">
        <v>58</v>
      </c>
      <c r="J762" s="655">
        <v>22</v>
      </c>
      <c r="K762" s="655">
        <v>3</v>
      </c>
      <c r="L762" s="656" t="s">
        <v>55</v>
      </c>
      <c r="M762" s="656" t="s">
        <v>41</v>
      </c>
      <c r="N762" s="656" t="s">
        <v>39</v>
      </c>
      <c r="O762" s="656" t="s">
        <v>39</v>
      </c>
      <c r="P762" s="656" t="s">
        <v>1037</v>
      </c>
      <c r="Q762" s="657">
        <v>0</v>
      </c>
      <c r="R762" s="657">
        <v>0</v>
      </c>
      <c r="S762" s="657">
        <v>0</v>
      </c>
      <c r="T762" s="657">
        <v>0</v>
      </c>
      <c r="U762" s="657">
        <v>0</v>
      </c>
      <c r="V762" s="655">
        <v>2021</v>
      </c>
      <c r="W762" s="659"/>
      <c r="X762" s="660" t="str">
        <f t="shared" si="35"/>
        <v/>
      </c>
      <c r="Y762" s="661" t="str">
        <f t="shared" si="33"/>
        <v/>
      </c>
      <c r="Z762" s="661" t="str">
        <f t="shared" si="34"/>
        <v/>
      </c>
    </row>
    <row r="763" spans="1:26" s="128" customFormat="1" ht="25" hidden="1">
      <c r="A763" s="655">
        <v>50512</v>
      </c>
      <c r="B763" s="656" t="s">
        <v>33</v>
      </c>
      <c r="C763" s="655" t="s">
        <v>2793</v>
      </c>
      <c r="D763" s="656" t="s">
        <v>894</v>
      </c>
      <c r="E763" s="656" t="s">
        <v>3104</v>
      </c>
      <c r="F763" s="655">
        <v>57280</v>
      </c>
      <c r="G763" s="656" t="s">
        <v>57</v>
      </c>
      <c r="H763" s="656" t="s">
        <v>1182</v>
      </c>
      <c r="I763" s="656" t="s">
        <v>58</v>
      </c>
      <c r="J763" s="655">
        <v>22</v>
      </c>
      <c r="K763" s="655">
        <v>2</v>
      </c>
      <c r="L763" s="656" t="s">
        <v>52</v>
      </c>
      <c r="M763" s="656" t="s">
        <v>35</v>
      </c>
      <c r="N763" s="656" t="s">
        <v>36</v>
      </c>
      <c r="O763" s="656" t="s">
        <v>37</v>
      </c>
      <c r="P763" s="656" t="s">
        <v>1176</v>
      </c>
      <c r="Q763" s="657">
        <v>0</v>
      </c>
      <c r="R763" s="657">
        <v>0</v>
      </c>
      <c r="S763" s="657">
        <v>1078296</v>
      </c>
      <c r="T763" s="657">
        <v>1078296</v>
      </c>
      <c r="U763" s="657">
        <v>121938</v>
      </c>
      <c r="V763" s="655">
        <v>2021</v>
      </c>
      <c r="W763" s="659"/>
      <c r="X763" s="660">
        <f t="shared" si="35"/>
        <v>8.8429857796585143</v>
      </c>
      <c r="Y763" s="661" t="str">
        <f t="shared" si="33"/>
        <v/>
      </c>
      <c r="Z763" s="661" t="str">
        <f t="shared" si="34"/>
        <v/>
      </c>
    </row>
    <row r="764" spans="1:26" s="128" customFormat="1" hidden="1">
      <c r="A764" s="655">
        <v>50513</v>
      </c>
      <c r="B764" s="656" t="s">
        <v>33</v>
      </c>
      <c r="C764" s="655" t="s">
        <v>2793</v>
      </c>
      <c r="D764" s="656" t="s">
        <v>895</v>
      </c>
      <c r="E764" s="656" t="s">
        <v>896</v>
      </c>
      <c r="F764" s="655">
        <v>18121</v>
      </c>
      <c r="G764" s="656" t="s">
        <v>57</v>
      </c>
      <c r="H764" s="656" t="s">
        <v>1182</v>
      </c>
      <c r="I764" s="656" t="s">
        <v>58</v>
      </c>
      <c r="J764" s="655">
        <v>22</v>
      </c>
      <c r="K764" s="655">
        <v>2</v>
      </c>
      <c r="L764" s="656" t="s">
        <v>52</v>
      </c>
      <c r="M764" s="656" t="s">
        <v>35</v>
      </c>
      <c r="N764" s="656" t="s">
        <v>36</v>
      </c>
      <c r="O764" s="656" t="s">
        <v>37</v>
      </c>
      <c r="P764" s="656" t="s">
        <v>1176</v>
      </c>
      <c r="Q764" s="657">
        <v>0</v>
      </c>
      <c r="R764" s="657">
        <v>0</v>
      </c>
      <c r="S764" s="657">
        <v>52811</v>
      </c>
      <c r="T764" s="657">
        <v>52811</v>
      </c>
      <c r="U764" s="657">
        <v>5972</v>
      </c>
      <c r="V764" s="655">
        <v>2021</v>
      </c>
      <c r="W764" s="659"/>
      <c r="X764" s="660">
        <f t="shared" si="35"/>
        <v>8.84310113864702</v>
      </c>
      <c r="Y764" s="661" t="str">
        <f t="shared" si="33"/>
        <v/>
      </c>
      <c r="Z764" s="661" t="str">
        <f t="shared" si="34"/>
        <v/>
      </c>
    </row>
    <row r="765" spans="1:26" s="128" customFormat="1" ht="25" hidden="1">
      <c r="A765" s="655">
        <v>50514</v>
      </c>
      <c r="B765" s="656" t="s">
        <v>33</v>
      </c>
      <c r="C765" s="655" t="s">
        <v>2793</v>
      </c>
      <c r="D765" s="656" t="s">
        <v>897</v>
      </c>
      <c r="E765" s="656" t="s">
        <v>898</v>
      </c>
      <c r="F765" s="655">
        <v>6495</v>
      </c>
      <c r="G765" s="656" t="s">
        <v>57</v>
      </c>
      <c r="H765" s="656" t="s">
        <v>1182</v>
      </c>
      <c r="I765" s="656" t="s">
        <v>58</v>
      </c>
      <c r="J765" s="655">
        <v>22</v>
      </c>
      <c r="K765" s="655">
        <v>2</v>
      </c>
      <c r="L765" s="656" t="s">
        <v>52</v>
      </c>
      <c r="M765" s="656" t="s">
        <v>35</v>
      </c>
      <c r="N765" s="656" t="s">
        <v>36</v>
      </c>
      <c r="O765" s="656" t="s">
        <v>37</v>
      </c>
      <c r="P765" s="656" t="s">
        <v>1176</v>
      </c>
      <c r="Q765" s="657">
        <v>0</v>
      </c>
      <c r="R765" s="657">
        <v>0</v>
      </c>
      <c r="S765" s="657">
        <v>178867</v>
      </c>
      <c r="T765" s="657">
        <v>178867</v>
      </c>
      <c r="U765" s="657">
        <v>20227</v>
      </c>
      <c r="V765" s="655">
        <v>2021</v>
      </c>
      <c r="W765" s="659"/>
      <c r="X765" s="660">
        <f t="shared" si="35"/>
        <v>8.8429821525683501</v>
      </c>
      <c r="Y765" s="661" t="str">
        <f t="shared" si="33"/>
        <v/>
      </c>
      <c r="Z765" s="661" t="str">
        <f t="shared" si="34"/>
        <v/>
      </c>
    </row>
    <row r="766" spans="1:26" s="128" customFormat="1" ht="25" hidden="1">
      <c r="A766" s="655">
        <v>50539</v>
      </c>
      <c r="B766" s="656" t="s">
        <v>33</v>
      </c>
      <c r="C766" s="655" t="s">
        <v>2793</v>
      </c>
      <c r="D766" s="656" t="s">
        <v>899</v>
      </c>
      <c r="E766" s="656" t="s">
        <v>899</v>
      </c>
      <c r="F766" s="655">
        <v>1966</v>
      </c>
      <c r="G766" s="656" t="s">
        <v>89</v>
      </c>
      <c r="H766" s="656" t="s">
        <v>1183</v>
      </c>
      <c r="I766" s="656" t="s">
        <v>58</v>
      </c>
      <c r="J766" s="655">
        <v>22</v>
      </c>
      <c r="K766" s="655">
        <v>2</v>
      </c>
      <c r="L766" s="656" t="s">
        <v>52</v>
      </c>
      <c r="M766" s="656" t="s">
        <v>35</v>
      </c>
      <c r="N766" s="656" t="s">
        <v>36</v>
      </c>
      <c r="O766" s="656" t="s">
        <v>37</v>
      </c>
      <c r="P766" s="656" t="s">
        <v>1176</v>
      </c>
      <c r="Q766" s="657">
        <v>0</v>
      </c>
      <c r="R766" s="657">
        <v>0</v>
      </c>
      <c r="S766" s="657">
        <v>19216</v>
      </c>
      <c r="T766" s="657">
        <v>19216</v>
      </c>
      <c r="U766" s="657">
        <v>2173</v>
      </c>
      <c r="V766" s="655">
        <v>2021</v>
      </c>
      <c r="W766" s="659"/>
      <c r="X766" s="660">
        <f t="shared" si="35"/>
        <v>8.8430740911182699</v>
      </c>
      <c r="Y766" s="661" t="str">
        <f t="shared" si="33"/>
        <v/>
      </c>
      <c r="Z766" s="661" t="str">
        <f t="shared" si="34"/>
        <v/>
      </c>
    </row>
    <row r="767" spans="1:26" s="128" customFormat="1" ht="25">
      <c r="A767" s="655">
        <v>50545</v>
      </c>
      <c r="B767" s="656" t="s">
        <v>33</v>
      </c>
      <c r="C767" s="655" t="s">
        <v>2793</v>
      </c>
      <c r="D767" s="656" t="s">
        <v>900</v>
      </c>
      <c r="E767" s="656" t="s">
        <v>3106</v>
      </c>
      <c r="F767" s="655">
        <v>64078</v>
      </c>
      <c r="G767" s="656" t="s">
        <v>81</v>
      </c>
      <c r="H767" s="656" t="s">
        <v>1183</v>
      </c>
      <c r="I767" s="656" t="s">
        <v>58</v>
      </c>
      <c r="J767" s="655">
        <v>22</v>
      </c>
      <c r="K767" s="655">
        <v>2</v>
      </c>
      <c r="L767" s="656" t="s">
        <v>52</v>
      </c>
      <c r="M767" s="656" t="s">
        <v>35</v>
      </c>
      <c r="N767" s="656" t="s">
        <v>36</v>
      </c>
      <c r="O767" s="656" t="s">
        <v>37</v>
      </c>
      <c r="P767" s="656" t="s">
        <v>1176</v>
      </c>
      <c r="Q767" s="657">
        <v>0</v>
      </c>
      <c r="R767" s="657">
        <v>0</v>
      </c>
      <c r="S767" s="657">
        <v>778881</v>
      </c>
      <c r="T767" s="657">
        <v>778881</v>
      </c>
      <c r="U767" s="657">
        <v>88079</v>
      </c>
      <c r="V767" s="655">
        <v>2021</v>
      </c>
      <c r="W767" s="659"/>
      <c r="X767" s="660">
        <f t="shared" si="35"/>
        <v>8.842981868549824</v>
      </c>
      <c r="Y767" s="661" t="str">
        <f t="shared" si="33"/>
        <v/>
      </c>
      <c r="Z767" s="661" t="str">
        <f t="shared" si="34"/>
        <v/>
      </c>
    </row>
    <row r="768" spans="1:26" s="128" customFormat="1" ht="25" hidden="1">
      <c r="A768" s="655">
        <v>50564</v>
      </c>
      <c r="B768" s="656" t="s">
        <v>33</v>
      </c>
      <c r="C768" s="655" t="s">
        <v>2793</v>
      </c>
      <c r="D768" s="656" t="s">
        <v>901</v>
      </c>
      <c r="E768" s="656" t="s">
        <v>902</v>
      </c>
      <c r="F768" s="655">
        <v>54842</v>
      </c>
      <c r="G768" s="656" t="s">
        <v>41</v>
      </c>
      <c r="H768" s="656" t="s">
        <v>1183</v>
      </c>
      <c r="I768" s="656" t="s">
        <v>58</v>
      </c>
      <c r="J768" s="655">
        <v>22</v>
      </c>
      <c r="K768" s="655">
        <v>2</v>
      </c>
      <c r="L768" s="656" t="s">
        <v>52</v>
      </c>
      <c r="M768" s="656" t="s">
        <v>51</v>
      </c>
      <c r="N768" s="656" t="s">
        <v>63</v>
      </c>
      <c r="O768" s="656" t="s">
        <v>64</v>
      </c>
      <c r="P768" s="656" t="s">
        <v>1037</v>
      </c>
      <c r="Q768" s="657">
        <v>141986</v>
      </c>
      <c r="R768" s="657">
        <v>141986</v>
      </c>
      <c r="S768" s="657">
        <v>70995</v>
      </c>
      <c r="T768" s="657">
        <v>70995</v>
      </c>
      <c r="U768" s="657">
        <v>6131</v>
      </c>
      <c r="V768" s="655">
        <v>2021</v>
      </c>
      <c r="W768" s="659"/>
      <c r="X768" s="660">
        <f t="shared" si="35"/>
        <v>11.57967705105203</v>
      </c>
      <c r="Y768" s="661" t="str">
        <f t="shared" si="33"/>
        <v/>
      </c>
      <c r="Z768" s="661" t="str">
        <f t="shared" si="34"/>
        <v/>
      </c>
    </row>
    <row r="769" spans="1:26" s="128" customFormat="1" ht="25" hidden="1">
      <c r="A769" s="655">
        <v>50568</v>
      </c>
      <c r="B769" s="656" t="s">
        <v>33</v>
      </c>
      <c r="C769" s="655" t="s">
        <v>2793</v>
      </c>
      <c r="D769" s="656" t="s">
        <v>903</v>
      </c>
      <c r="E769" s="656" t="s">
        <v>902</v>
      </c>
      <c r="F769" s="655">
        <v>54842</v>
      </c>
      <c r="G769" s="656" t="s">
        <v>57</v>
      </c>
      <c r="H769" s="656" t="s">
        <v>1182</v>
      </c>
      <c r="I769" s="656" t="s">
        <v>58</v>
      </c>
      <c r="J769" s="655">
        <v>22</v>
      </c>
      <c r="K769" s="655">
        <v>2</v>
      </c>
      <c r="L769" s="656" t="s">
        <v>52</v>
      </c>
      <c r="M769" s="656" t="s">
        <v>51</v>
      </c>
      <c r="N769" s="656" t="s">
        <v>63</v>
      </c>
      <c r="O769" s="656" t="s">
        <v>64</v>
      </c>
      <c r="P769" s="656" t="s">
        <v>1037</v>
      </c>
      <c r="Q769" s="657">
        <v>1513105</v>
      </c>
      <c r="R769" s="657">
        <v>1513105</v>
      </c>
      <c r="S769" s="657">
        <v>779249</v>
      </c>
      <c r="T769" s="657">
        <v>779249</v>
      </c>
      <c r="U769" s="657">
        <v>70883</v>
      </c>
      <c r="V769" s="655">
        <v>2021</v>
      </c>
      <c r="W769" s="659"/>
      <c r="X769" s="660">
        <f t="shared" si="35"/>
        <v>10.993454001664714</v>
      </c>
      <c r="Y769" s="661" t="str">
        <f t="shared" si="33"/>
        <v/>
      </c>
      <c r="Z769" s="661" t="str">
        <f t="shared" si="34"/>
        <v/>
      </c>
    </row>
    <row r="770" spans="1:26" s="128" customFormat="1" ht="25" hidden="1">
      <c r="A770" s="655">
        <v>50621</v>
      </c>
      <c r="B770" s="656" t="s">
        <v>54</v>
      </c>
      <c r="C770" s="655" t="s">
        <v>2793</v>
      </c>
      <c r="D770" s="656" t="s">
        <v>1907</v>
      </c>
      <c r="E770" s="656" t="s">
        <v>1908</v>
      </c>
      <c r="F770" s="655">
        <v>18000</v>
      </c>
      <c r="G770" s="656" t="s">
        <v>131</v>
      </c>
      <c r="H770" s="656" t="s">
        <v>1183</v>
      </c>
      <c r="I770" s="656" t="s">
        <v>58</v>
      </c>
      <c r="J770" s="655">
        <v>622</v>
      </c>
      <c r="K770" s="655">
        <v>5</v>
      </c>
      <c r="L770" s="656" t="s">
        <v>413</v>
      </c>
      <c r="M770" s="656" t="s">
        <v>50</v>
      </c>
      <c r="N770" s="656" t="s">
        <v>46</v>
      </c>
      <c r="O770" s="656" t="s">
        <v>46</v>
      </c>
      <c r="P770" s="656" t="s">
        <v>47</v>
      </c>
      <c r="Q770" s="657">
        <v>84</v>
      </c>
      <c r="R770" s="657">
        <v>22</v>
      </c>
      <c r="S770" s="657">
        <v>487</v>
      </c>
      <c r="T770" s="657">
        <v>129</v>
      </c>
      <c r="U770" s="657">
        <v>24.524000000000001</v>
      </c>
      <c r="V770" s="655">
        <v>2021</v>
      </c>
      <c r="W770" s="659"/>
      <c r="X770" s="660" t="str">
        <f t="shared" si="35"/>
        <v/>
      </c>
      <c r="Y770" s="661" t="str">
        <f t="shared" si="33"/>
        <v/>
      </c>
      <c r="Z770" s="661">
        <f t="shared" si="34"/>
        <v>7.6377300728956241</v>
      </c>
    </row>
    <row r="771" spans="1:26" s="128" customFormat="1" ht="25" hidden="1">
      <c r="A771" s="655">
        <v>50621</v>
      </c>
      <c r="B771" s="656" t="s">
        <v>54</v>
      </c>
      <c r="C771" s="655" t="s">
        <v>2793</v>
      </c>
      <c r="D771" s="656" t="s">
        <v>1907</v>
      </c>
      <c r="E771" s="656" t="s">
        <v>1908</v>
      </c>
      <c r="F771" s="655">
        <v>18000</v>
      </c>
      <c r="G771" s="656" t="s">
        <v>131</v>
      </c>
      <c r="H771" s="656" t="s">
        <v>1183</v>
      </c>
      <c r="I771" s="656" t="s">
        <v>58</v>
      </c>
      <c r="J771" s="655">
        <v>622</v>
      </c>
      <c r="K771" s="655">
        <v>5</v>
      </c>
      <c r="L771" s="656" t="s">
        <v>413</v>
      </c>
      <c r="M771" s="656" t="s">
        <v>50</v>
      </c>
      <c r="N771" s="656" t="s">
        <v>39</v>
      </c>
      <c r="O771" s="656" t="s">
        <v>39</v>
      </c>
      <c r="P771" s="656" t="s">
        <v>1037</v>
      </c>
      <c r="Q771" s="657">
        <v>416470</v>
      </c>
      <c r="R771" s="657">
        <v>116939</v>
      </c>
      <c r="S771" s="657">
        <v>432295</v>
      </c>
      <c r="T771" s="657">
        <v>121384</v>
      </c>
      <c r="U771" s="657">
        <v>23516.475999999999</v>
      </c>
      <c r="V771" s="655">
        <v>2021</v>
      </c>
      <c r="W771" s="659"/>
      <c r="X771" s="660" t="str">
        <f t="shared" si="35"/>
        <v/>
      </c>
      <c r="Y771" s="661">
        <f t="shared" si="33"/>
        <v>7.0702475869389483</v>
      </c>
      <c r="Z771" s="661" t="str">
        <f t="shared" si="34"/>
        <v/>
      </c>
    </row>
    <row r="772" spans="1:26" s="128" customFormat="1" ht="25" hidden="1">
      <c r="A772" s="655">
        <v>50621</v>
      </c>
      <c r="B772" s="656" t="s">
        <v>54</v>
      </c>
      <c r="C772" s="655" t="s">
        <v>2793</v>
      </c>
      <c r="D772" s="656" t="s">
        <v>1907</v>
      </c>
      <c r="E772" s="656" t="s">
        <v>1908</v>
      </c>
      <c r="F772" s="655">
        <v>18000</v>
      </c>
      <c r="G772" s="656" t="s">
        <v>131</v>
      </c>
      <c r="H772" s="656" t="s">
        <v>1183</v>
      </c>
      <c r="I772" s="656" t="s">
        <v>58</v>
      </c>
      <c r="J772" s="655">
        <v>622</v>
      </c>
      <c r="K772" s="655">
        <v>5</v>
      </c>
      <c r="L772" s="656" t="s">
        <v>413</v>
      </c>
      <c r="M772" s="656" t="s">
        <v>50</v>
      </c>
      <c r="N772" s="656" t="s">
        <v>61</v>
      </c>
      <c r="O772" s="656" t="s">
        <v>61</v>
      </c>
      <c r="P772" s="656" t="s">
        <v>47</v>
      </c>
      <c r="Q772" s="657">
        <v>0</v>
      </c>
      <c r="R772" s="657">
        <v>0</v>
      </c>
      <c r="S772" s="657">
        <v>0</v>
      </c>
      <c r="T772" s="657">
        <v>0</v>
      </c>
      <c r="U772" s="657">
        <v>0</v>
      </c>
      <c r="V772" s="655">
        <v>2021</v>
      </c>
      <c r="W772" s="659"/>
      <c r="X772" s="660" t="str">
        <f t="shared" si="35"/>
        <v/>
      </c>
      <c r="Y772" s="661" t="str">
        <f t="shared" si="33"/>
        <v/>
      </c>
      <c r="Z772" s="661" t="str">
        <f t="shared" si="34"/>
        <v/>
      </c>
    </row>
    <row r="773" spans="1:26" s="128" customFormat="1" ht="25" hidden="1">
      <c r="A773" s="655">
        <v>50621</v>
      </c>
      <c r="B773" s="656" t="s">
        <v>54</v>
      </c>
      <c r="C773" s="655" t="s">
        <v>2793</v>
      </c>
      <c r="D773" s="656" t="s">
        <v>1907</v>
      </c>
      <c r="E773" s="656" t="s">
        <v>1908</v>
      </c>
      <c r="F773" s="655">
        <v>18000</v>
      </c>
      <c r="G773" s="656" t="s">
        <v>131</v>
      </c>
      <c r="H773" s="656" t="s">
        <v>1183</v>
      </c>
      <c r="I773" s="656" t="s">
        <v>58</v>
      </c>
      <c r="J773" s="655">
        <v>622</v>
      </c>
      <c r="K773" s="655">
        <v>5</v>
      </c>
      <c r="L773" s="656" t="s">
        <v>413</v>
      </c>
      <c r="M773" s="656" t="s">
        <v>51</v>
      </c>
      <c r="N773" s="656" t="s">
        <v>39</v>
      </c>
      <c r="O773" s="656" t="s">
        <v>39</v>
      </c>
      <c r="P773" s="656" t="s">
        <v>1037</v>
      </c>
      <c r="Q773" s="657">
        <v>26159</v>
      </c>
      <c r="R773" s="657">
        <v>9985</v>
      </c>
      <c r="S773" s="657">
        <v>27152</v>
      </c>
      <c r="T773" s="657">
        <v>10366</v>
      </c>
      <c r="U773" s="657">
        <v>2370</v>
      </c>
      <c r="V773" s="655">
        <v>2021</v>
      </c>
      <c r="W773" s="659"/>
      <c r="X773" s="660" t="str">
        <f t="shared" si="35"/>
        <v/>
      </c>
      <c r="Y773" s="661" t="str">
        <f t="shared" si="33"/>
        <v/>
      </c>
      <c r="Z773" s="661" t="str">
        <f t="shared" si="34"/>
        <v/>
      </c>
    </row>
    <row r="774" spans="1:26" s="128" customFormat="1" ht="25" hidden="1">
      <c r="A774" s="655">
        <v>50621</v>
      </c>
      <c r="B774" s="656" t="s">
        <v>54</v>
      </c>
      <c r="C774" s="655" t="s">
        <v>2793</v>
      </c>
      <c r="D774" s="656" t="s">
        <v>1907</v>
      </c>
      <c r="E774" s="656" t="s">
        <v>1908</v>
      </c>
      <c r="F774" s="655">
        <v>18000</v>
      </c>
      <c r="G774" s="656" t="s">
        <v>131</v>
      </c>
      <c r="H774" s="656" t="s">
        <v>1183</v>
      </c>
      <c r="I774" s="656" t="s">
        <v>58</v>
      </c>
      <c r="J774" s="655">
        <v>622</v>
      </c>
      <c r="K774" s="655">
        <v>5</v>
      </c>
      <c r="L774" s="656" t="s">
        <v>413</v>
      </c>
      <c r="M774" s="656" t="s">
        <v>42</v>
      </c>
      <c r="N774" s="656" t="s">
        <v>46</v>
      </c>
      <c r="O774" s="656" t="s">
        <v>46</v>
      </c>
      <c r="P774" s="656" t="s">
        <v>47</v>
      </c>
      <c r="Q774" s="657">
        <v>0</v>
      </c>
      <c r="R774" s="657">
        <v>0</v>
      </c>
      <c r="S774" s="657">
        <v>0</v>
      </c>
      <c r="T774" s="657">
        <v>0</v>
      </c>
      <c r="U774" s="657">
        <v>0</v>
      </c>
      <c r="V774" s="655">
        <v>2021</v>
      </c>
      <c r="W774" s="659"/>
      <c r="X774" s="660" t="str">
        <f t="shared" si="35"/>
        <v/>
      </c>
      <c r="Y774" s="661" t="str">
        <f t="shared" si="33"/>
        <v/>
      </c>
      <c r="Z774" s="661" t="str">
        <f t="shared" si="34"/>
        <v/>
      </c>
    </row>
    <row r="775" spans="1:26" s="128" customFormat="1" ht="25" hidden="1">
      <c r="A775" s="655">
        <v>50621</v>
      </c>
      <c r="B775" s="656" t="s">
        <v>54</v>
      </c>
      <c r="C775" s="655" t="s">
        <v>2793</v>
      </c>
      <c r="D775" s="656" t="s">
        <v>1907</v>
      </c>
      <c r="E775" s="656" t="s">
        <v>1908</v>
      </c>
      <c r="F775" s="655">
        <v>18000</v>
      </c>
      <c r="G775" s="656" t="s">
        <v>131</v>
      </c>
      <c r="H775" s="656" t="s">
        <v>1183</v>
      </c>
      <c r="I775" s="656" t="s">
        <v>58</v>
      </c>
      <c r="J775" s="655">
        <v>622</v>
      </c>
      <c r="K775" s="655">
        <v>5</v>
      </c>
      <c r="L775" s="656" t="s">
        <v>413</v>
      </c>
      <c r="M775" s="656" t="s">
        <v>42</v>
      </c>
      <c r="N775" s="656" t="s">
        <v>39</v>
      </c>
      <c r="O775" s="656" t="s">
        <v>39</v>
      </c>
      <c r="P775" s="656" t="s">
        <v>1037</v>
      </c>
      <c r="Q775" s="657">
        <v>195153</v>
      </c>
      <c r="R775" s="657">
        <v>0</v>
      </c>
      <c r="S775" s="657">
        <v>202568</v>
      </c>
      <c r="T775" s="657">
        <v>0</v>
      </c>
      <c r="U775" s="657">
        <v>0</v>
      </c>
      <c r="V775" s="655">
        <v>2021</v>
      </c>
      <c r="W775" s="659"/>
      <c r="X775" s="660" t="str">
        <f t="shared" si="35"/>
        <v/>
      </c>
      <c r="Y775" s="661" t="str">
        <f t="shared" ref="Y775:Y838" si="36">IF(AND($M775=$Y$2,$N775=$Y$3,NOT($Q775=$R775),NOT($U775=0)),IF($K775=5,$S775/($U775+(8/5)*$U775),IF($K775=7,$S775/($U775+(29/25)*$U775),"")),"")</f>
        <v/>
      </c>
      <c r="Z775" s="661" t="str">
        <f t="shared" ref="Z775:Z838" si="37">IF(AND($M775=$Y$2,$N775=$Y$4,NOT($Q775=$R775),NOT($U775=0)),IF($K775=5,$S775/($U775+(8/5)*$U775),IF($K775=7,$S775/($U775+(29/25)*$U775),"")),"")</f>
        <v/>
      </c>
    </row>
    <row r="776" spans="1:26" s="128" customFormat="1" hidden="1">
      <c r="A776" s="655">
        <v>50648</v>
      </c>
      <c r="B776" s="656" t="s">
        <v>33</v>
      </c>
      <c r="C776" s="655" t="s">
        <v>2793</v>
      </c>
      <c r="D776" s="656" t="s">
        <v>904</v>
      </c>
      <c r="E776" s="656" t="s">
        <v>905</v>
      </c>
      <c r="F776" s="655">
        <v>4474</v>
      </c>
      <c r="G776" s="656" t="s">
        <v>41</v>
      </c>
      <c r="H776" s="656" t="s">
        <v>1183</v>
      </c>
      <c r="I776" s="656" t="s">
        <v>58</v>
      </c>
      <c r="J776" s="655">
        <v>22</v>
      </c>
      <c r="K776" s="655">
        <v>2</v>
      </c>
      <c r="L776" s="656" t="s">
        <v>52</v>
      </c>
      <c r="M776" s="656" t="s">
        <v>42</v>
      </c>
      <c r="N776" s="656" t="s">
        <v>16</v>
      </c>
      <c r="O776" s="656" t="s">
        <v>64</v>
      </c>
      <c r="P776" s="656" t="s">
        <v>45</v>
      </c>
      <c r="Q776" s="657">
        <v>131062</v>
      </c>
      <c r="R776" s="657">
        <v>131062</v>
      </c>
      <c r="S776" s="657">
        <v>870167</v>
      </c>
      <c r="T776" s="657">
        <v>870167</v>
      </c>
      <c r="U776" s="657">
        <v>46446.349000000002</v>
      </c>
      <c r="V776" s="655">
        <v>2021</v>
      </c>
      <c r="W776" s="659"/>
      <c r="X776" s="660">
        <f t="shared" ref="X776:X839" si="38">IF(OR(K776&gt;3,T776=0,NOT(U776&gt;0)),"",T776/U776)</f>
        <v>18.734884845308294</v>
      </c>
      <c r="Y776" s="661" t="str">
        <f t="shared" si="36"/>
        <v/>
      </c>
      <c r="Z776" s="661" t="str">
        <f t="shared" si="37"/>
        <v/>
      </c>
    </row>
    <row r="777" spans="1:26" s="128" customFormat="1" hidden="1">
      <c r="A777" s="655">
        <v>50648</v>
      </c>
      <c r="B777" s="656" t="s">
        <v>33</v>
      </c>
      <c r="C777" s="655" t="s">
        <v>2793</v>
      </c>
      <c r="D777" s="656" t="s">
        <v>904</v>
      </c>
      <c r="E777" s="656" t="s">
        <v>905</v>
      </c>
      <c r="F777" s="655">
        <v>4474</v>
      </c>
      <c r="G777" s="656" t="s">
        <v>41</v>
      </c>
      <c r="H777" s="656" t="s">
        <v>1183</v>
      </c>
      <c r="I777" s="656" t="s">
        <v>58</v>
      </c>
      <c r="J777" s="655">
        <v>22</v>
      </c>
      <c r="K777" s="655">
        <v>2</v>
      </c>
      <c r="L777" s="656" t="s">
        <v>52</v>
      </c>
      <c r="M777" s="656" t="s">
        <v>42</v>
      </c>
      <c r="N777" s="656" t="s">
        <v>17</v>
      </c>
      <c r="O777" s="656" t="s">
        <v>82</v>
      </c>
      <c r="P777" s="656" t="s">
        <v>45</v>
      </c>
      <c r="Q777" s="657">
        <v>83796</v>
      </c>
      <c r="R777" s="657">
        <v>83796</v>
      </c>
      <c r="S777" s="657">
        <v>1063553</v>
      </c>
      <c r="T777" s="657">
        <v>1063553</v>
      </c>
      <c r="U777" s="657">
        <v>56768.650999999998</v>
      </c>
      <c r="V777" s="655">
        <v>2021</v>
      </c>
      <c r="W777" s="659"/>
      <c r="X777" s="660">
        <f t="shared" si="38"/>
        <v>18.734864775983493</v>
      </c>
      <c r="Y777" s="661" t="str">
        <f t="shared" si="36"/>
        <v/>
      </c>
      <c r="Z777" s="661" t="str">
        <f t="shared" si="37"/>
        <v/>
      </c>
    </row>
    <row r="778" spans="1:26" s="128" customFormat="1" hidden="1">
      <c r="A778" s="655">
        <v>50648</v>
      </c>
      <c r="B778" s="656" t="s">
        <v>33</v>
      </c>
      <c r="C778" s="655" t="s">
        <v>2793</v>
      </c>
      <c r="D778" s="656" t="s">
        <v>904</v>
      </c>
      <c r="E778" s="656" t="s">
        <v>905</v>
      </c>
      <c r="F778" s="655">
        <v>4474</v>
      </c>
      <c r="G778" s="656" t="s">
        <v>41</v>
      </c>
      <c r="H778" s="656" t="s">
        <v>1183</v>
      </c>
      <c r="I778" s="656" t="s">
        <v>58</v>
      </c>
      <c r="J778" s="655">
        <v>22</v>
      </c>
      <c r="K778" s="655">
        <v>2</v>
      </c>
      <c r="L778" s="656" t="s">
        <v>52</v>
      </c>
      <c r="M778" s="656" t="s">
        <v>42</v>
      </c>
      <c r="N778" s="656" t="s">
        <v>39</v>
      </c>
      <c r="O778" s="656" t="s">
        <v>39</v>
      </c>
      <c r="P778" s="656" t="s">
        <v>1037</v>
      </c>
      <c r="Q778" s="657">
        <v>0</v>
      </c>
      <c r="R778" s="657">
        <v>0</v>
      </c>
      <c r="S778" s="657">
        <v>0</v>
      </c>
      <c r="T778" s="657">
        <v>0</v>
      </c>
      <c r="U778" s="657">
        <v>0</v>
      </c>
      <c r="V778" s="655">
        <v>2021</v>
      </c>
      <c r="W778" s="659"/>
      <c r="X778" s="660" t="str">
        <f t="shared" si="38"/>
        <v/>
      </c>
      <c r="Y778" s="661" t="str">
        <f t="shared" si="36"/>
        <v/>
      </c>
      <c r="Z778" s="661" t="str">
        <f t="shared" si="37"/>
        <v/>
      </c>
    </row>
    <row r="779" spans="1:26" s="128" customFormat="1" ht="25" hidden="1">
      <c r="A779" s="655">
        <v>50649</v>
      </c>
      <c r="B779" s="656" t="s">
        <v>33</v>
      </c>
      <c r="C779" s="655" t="s">
        <v>2793</v>
      </c>
      <c r="D779" s="656" t="s">
        <v>906</v>
      </c>
      <c r="E779" s="656" t="s">
        <v>906</v>
      </c>
      <c r="F779" s="655">
        <v>4484</v>
      </c>
      <c r="G779" s="656" t="s">
        <v>57</v>
      </c>
      <c r="H779" s="656" t="s">
        <v>1182</v>
      </c>
      <c r="I779" s="656" t="s">
        <v>58</v>
      </c>
      <c r="J779" s="655">
        <v>562213</v>
      </c>
      <c r="K779" s="655">
        <v>4</v>
      </c>
      <c r="L779" s="656" t="s">
        <v>412</v>
      </c>
      <c r="M779" s="656" t="s">
        <v>42</v>
      </c>
      <c r="N779" s="656" t="s">
        <v>46</v>
      </c>
      <c r="O779" s="656" t="s">
        <v>46</v>
      </c>
      <c r="P779" s="656" t="s">
        <v>47</v>
      </c>
      <c r="Q779" s="657">
        <v>1244</v>
      </c>
      <c r="R779" s="657">
        <v>1244</v>
      </c>
      <c r="S779" s="657">
        <v>7341</v>
      </c>
      <c r="T779" s="657">
        <v>7341</v>
      </c>
      <c r="U779" s="657">
        <v>338.40800000000002</v>
      </c>
      <c r="V779" s="655">
        <v>2021</v>
      </c>
      <c r="W779" s="659"/>
      <c r="X779" s="660" t="str">
        <f t="shared" si="38"/>
        <v/>
      </c>
      <c r="Y779" s="661" t="str">
        <f t="shared" si="36"/>
        <v/>
      </c>
      <c r="Z779" s="661" t="str">
        <f t="shared" si="37"/>
        <v/>
      </c>
    </row>
    <row r="780" spans="1:26" s="128" customFormat="1" ht="25" hidden="1">
      <c r="A780" s="655">
        <v>50649</v>
      </c>
      <c r="B780" s="656" t="s">
        <v>33</v>
      </c>
      <c r="C780" s="655" t="s">
        <v>2793</v>
      </c>
      <c r="D780" s="656" t="s">
        <v>906</v>
      </c>
      <c r="E780" s="656" t="s">
        <v>906</v>
      </c>
      <c r="F780" s="655">
        <v>4484</v>
      </c>
      <c r="G780" s="656" t="s">
        <v>57</v>
      </c>
      <c r="H780" s="656" t="s">
        <v>1182</v>
      </c>
      <c r="I780" s="656" t="s">
        <v>58</v>
      </c>
      <c r="J780" s="655">
        <v>562213</v>
      </c>
      <c r="K780" s="655">
        <v>4</v>
      </c>
      <c r="L780" s="656" t="s">
        <v>412</v>
      </c>
      <c r="M780" s="656" t="s">
        <v>42</v>
      </c>
      <c r="N780" s="656" t="s">
        <v>16</v>
      </c>
      <c r="O780" s="656" t="s">
        <v>64</v>
      </c>
      <c r="P780" s="656" t="s">
        <v>45</v>
      </c>
      <c r="Q780" s="657">
        <v>149906</v>
      </c>
      <c r="R780" s="657">
        <v>149906</v>
      </c>
      <c r="S780" s="657">
        <v>1113774</v>
      </c>
      <c r="T780" s="657">
        <v>1113774</v>
      </c>
      <c r="U780" s="657">
        <v>51585.277999999998</v>
      </c>
      <c r="V780" s="655">
        <v>2021</v>
      </c>
      <c r="W780" s="659"/>
      <c r="X780" s="660" t="str">
        <f t="shared" si="38"/>
        <v/>
      </c>
      <c r="Y780" s="661" t="str">
        <f t="shared" si="36"/>
        <v/>
      </c>
      <c r="Z780" s="661" t="str">
        <f t="shared" si="37"/>
        <v/>
      </c>
    </row>
    <row r="781" spans="1:26" s="128" customFormat="1" ht="25" hidden="1">
      <c r="A781" s="655">
        <v>50649</v>
      </c>
      <c r="B781" s="656" t="s">
        <v>33</v>
      </c>
      <c r="C781" s="655" t="s">
        <v>2793</v>
      </c>
      <c r="D781" s="656" t="s">
        <v>906</v>
      </c>
      <c r="E781" s="656" t="s">
        <v>906</v>
      </c>
      <c r="F781" s="655">
        <v>4484</v>
      </c>
      <c r="G781" s="656" t="s">
        <v>57</v>
      </c>
      <c r="H781" s="656" t="s">
        <v>1182</v>
      </c>
      <c r="I781" s="656" t="s">
        <v>58</v>
      </c>
      <c r="J781" s="655">
        <v>562213</v>
      </c>
      <c r="K781" s="655">
        <v>4</v>
      </c>
      <c r="L781" s="656" t="s">
        <v>412</v>
      </c>
      <c r="M781" s="656" t="s">
        <v>42</v>
      </c>
      <c r="N781" s="656" t="s">
        <v>17</v>
      </c>
      <c r="O781" s="656" t="s">
        <v>82</v>
      </c>
      <c r="P781" s="656" t="s">
        <v>45</v>
      </c>
      <c r="Q781" s="657">
        <v>95844</v>
      </c>
      <c r="R781" s="657">
        <v>95844</v>
      </c>
      <c r="S781" s="657">
        <v>1361294</v>
      </c>
      <c r="T781" s="657">
        <v>1361294</v>
      </c>
      <c r="U781" s="657">
        <v>63049.313999999998</v>
      </c>
      <c r="V781" s="655">
        <v>2021</v>
      </c>
      <c r="W781" s="659"/>
      <c r="X781" s="660" t="str">
        <f t="shared" si="38"/>
        <v/>
      </c>
      <c r="Y781" s="661" t="str">
        <f t="shared" si="36"/>
        <v/>
      </c>
      <c r="Z781" s="661" t="str">
        <f t="shared" si="37"/>
        <v/>
      </c>
    </row>
    <row r="782" spans="1:26" s="128" customFormat="1" hidden="1">
      <c r="A782" s="655">
        <v>50650</v>
      </c>
      <c r="B782" s="656" t="s">
        <v>33</v>
      </c>
      <c r="C782" s="655" t="s">
        <v>2793</v>
      </c>
      <c r="D782" s="656" t="s">
        <v>1109</v>
      </c>
      <c r="E782" s="656" t="s">
        <v>1109</v>
      </c>
      <c r="F782" s="655">
        <v>1950</v>
      </c>
      <c r="G782" s="656" t="s">
        <v>90</v>
      </c>
      <c r="H782" s="656" t="s">
        <v>1183</v>
      </c>
      <c r="I782" s="656" t="s">
        <v>58</v>
      </c>
      <c r="J782" s="655">
        <v>22</v>
      </c>
      <c r="K782" s="655">
        <v>2</v>
      </c>
      <c r="L782" s="656" t="s">
        <v>52</v>
      </c>
      <c r="M782" s="656" t="s">
        <v>42</v>
      </c>
      <c r="N782" s="656" t="s">
        <v>46</v>
      </c>
      <c r="O782" s="656" t="s">
        <v>46</v>
      </c>
      <c r="P782" s="656" t="s">
        <v>47</v>
      </c>
      <c r="Q782" s="657">
        <v>0</v>
      </c>
      <c r="R782" s="657">
        <v>0</v>
      </c>
      <c r="S782" s="657">
        <v>0</v>
      </c>
      <c r="T782" s="657">
        <v>0</v>
      </c>
      <c r="U782" s="657">
        <v>0</v>
      </c>
      <c r="V782" s="655">
        <v>2021</v>
      </c>
      <c r="W782" s="659"/>
      <c r="X782" s="660" t="str">
        <f t="shared" si="38"/>
        <v/>
      </c>
      <c r="Y782" s="661" t="str">
        <f t="shared" si="36"/>
        <v/>
      </c>
      <c r="Z782" s="661" t="str">
        <f t="shared" si="37"/>
        <v/>
      </c>
    </row>
    <row r="783" spans="1:26" s="128" customFormat="1" hidden="1">
      <c r="A783" s="655">
        <v>50650</v>
      </c>
      <c r="B783" s="656" t="s">
        <v>33</v>
      </c>
      <c r="C783" s="655" t="s">
        <v>2793</v>
      </c>
      <c r="D783" s="656" t="s">
        <v>1109</v>
      </c>
      <c r="E783" s="656" t="s">
        <v>1109</v>
      </c>
      <c r="F783" s="655">
        <v>1950</v>
      </c>
      <c r="G783" s="656" t="s">
        <v>90</v>
      </c>
      <c r="H783" s="656" t="s">
        <v>1183</v>
      </c>
      <c r="I783" s="656" t="s">
        <v>58</v>
      </c>
      <c r="J783" s="655">
        <v>22</v>
      </c>
      <c r="K783" s="655">
        <v>2</v>
      </c>
      <c r="L783" s="656" t="s">
        <v>52</v>
      </c>
      <c r="M783" s="656" t="s">
        <v>42</v>
      </c>
      <c r="N783" s="656" t="s">
        <v>69</v>
      </c>
      <c r="O783" s="656" t="s">
        <v>70</v>
      </c>
      <c r="P783" s="656" t="s">
        <v>45</v>
      </c>
      <c r="Q783" s="657">
        <v>567414</v>
      </c>
      <c r="R783" s="657">
        <v>567414</v>
      </c>
      <c r="S783" s="657">
        <v>4539312</v>
      </c>
      <c r="T783" s="657">
        <v>4539312</v>
      </c>
      <c r="U783" s="657">
        <v>365100</v>
      </c>
      <c r="V783" s="655">
        <v>2021</v>
      </c>
      <c r="W783" s="659"/>
      <c r="X783" s="660">
        <f t="shared" si="38"/>
        <v>12.433064913722268</v>
      </c>
      <c r="Y783" s="661" t="str">
        <f t="shared" si="36"/>
        <v/>
      </c>
      <c r="Z783" s="661" t="str">
        <f t="shared" si="37"/>
        <v/>
      </c>
    </row>
    <row r="784" spans="1:26" s="128" customFormat="1" ht="25" hidden="1">
      <c r="A784" s="655">
        <v>50652</v>
      </c>
      <c r="B784" s="656" t="s">
        <v>33</v>
      </c>
      <c r="C784" s="655" t="s">
        <v>2793</v>
      </c>
      <c r="D784" s="656" t="s">
        <v>907</v>
      </c>
      <c r="E784" s="656" t="s">
        <v>3104</v>
      </c>
      <c r="F784" s="655">
        <v>57280</v>
      </c>
      <c r="G784" s="656" t="s">
        <v>57</v>
      </c>
      <c r="H784" s="656" t="s">
        <v>1182</v>
      </c>
      <c r="I784" s="656" t="s">
        <v>58</v>
      </c>
      <c r="J784" s="655">
        <v>22</v>
      </c>
      <c r="K784" s="655">
        <v>2</v>
      </c>
      <c r="L784" s="656" t="s">
        <v>52</v>
      </c>
      <c r="M784" s="656" t="s">
        <v>35</v>
      </c>
      <c r="N784" s="656" t="s">
        <v>36</v>
      </c>
      <c r="O784" s="656" t="s">
        <v>37</v>
      </c>
      <c r="P784" s="656" t="s">
        <v>1176</v>
      </c>
      <c r="Q784" s="657">
        <v>0</v>
      </c>
      <c r="R784" s="657">
        <v>0</v>
      </c>
      <c r="S784" s="657">
        <v>103144</v>
      </c>
      <c r="T784" s="657">
        <v>103144</v>
      </c>
      <c r="U784" s="657">
        <v>11664</v>
      </c>
      <c r="V784" s="655">
        <v>2021</v>
      </c>
      <c r="W784" s="659"/>
      <c r="X784" s="660">
        <f t="shared" si="38"/>
        <v>8.842935528120714</v>
      </c>
      <c r="Y784" s="661" t="str">
        <f t="shared" si="36"/>
        <v/>
      </c>
      <c r="Z784" s="661" t="str">
        <f t="shared" si="37"/>
        <v/>
      </c>
    </row>
    <row r="785" spans="1:26" s="128" customFormat="1" ht="25" hidden="1">
      <c r="A785" s="655">
        <v>50656</v>
      </c>
      <c r="B785" s="656" t="s">
        <v>33</v>
      </c>
      <c r="C785" s="655" t="s">
        <v>2793</v>
      </c>
      <c r="D785" s="656" t="s">
        <v>908</v>
      </c>
      <c r="E785" s="656" t="s">
        <v>909</v>
      </c>
      <c r="F785" s="655">
        <v>9097</v>
      </c>
      <c r="G785" s="656" t="s">
        <v>57</v>
      </c>
      <c r="H785" s="656" t="s">
        <v>1182</v>
      </c>
      <c r="I785" s="656" t="s">
        <v>58</v>
      </c>
      <c r="J785" s="655">
        <v>22</v>
      </c>
      <c r="K785" s="655">
        <v>2</v>
      </c>
      <c r="L785" s="656" t="s">
        <v>52</v>
      </c>
      <c r="M785" s="656" t="s">
        <v>42</v>
      </c>
      <c r="N785" s="656" t="s">
        <v>16</v>
      </c>
      <c r="O785" s="656" t="s">
        <v>64</v>
      </c>
      <c r="P785" s="656" t="s">
        <v>45</v>
      </c>
      <c r="Q785" s="657">
        <v>207542</v>
      </c>
      <c r="R785" s="657">
        <v>207542</v>
      </c>
      <c r="S785" s="657">
        <v>1531037</v>
      </c>
      <c r="T785" s="657">
        <v>1531037</v>
      </c>
      <c r="U785" s="657">
        <v>86065.532999999996</v>
      </c>
      <c r="V785" s="655">
        <v>2021</v>
      </c>
      <c r="W785" s="659"/>
      <c r="X785" s="660">
        <f t="shared" si="38"/>
        <v>17.789200236522095</v>
      </c>
      <c r="Y785" s="661" t="str">
        <f t="shared" si="36"/>
        <v/>
      </c>
      <c r="Z785" s="661" t="str">
        <f t="shared" si="37"/>
        <v/>
      </c>
    </row>
    <row r="786" spans="1:26" s="128" customFormat="1" ht="25" hidden="1">
      <c r="A786" s="655">
        <v>50656</v>
      </c>
      <c r="B786" s="656" t="s">
        <v>33</v>
      </c>
      <c r="C786" s="655" t="s">
        <v>2793</v>
      </c>
      <c r="D786" s="656" t="s">
        <v>908</v>
      </c>
      <c r="E786" s="656" t="s">
        <v>909</v>
      </c>
      <c r="F786" s="655">
        <v>9097</v>
      </c>
      <c r="G786" s="656" t="s">
        <v>57</v>
      </c>
      <c r="H786" s="656" t="s">
        <v>1182</v>
      </c>
      <c r="I786" s="656" t="s">
        <v>58</v>
      </c>
      <c r="J786" s="655">
        <v>22</v>
      </c>
      <c r="K786" s="655">
        <v>2</v>
      </c>
      <c r="L786" s="656" t="s">
        <v>52</v>
      </c>
      <c r="M786" s="656" t="s">
        <v>42</v>
      </c>
      <c r="N786" s="656" t="s">
        <v>17</v>
      </c>
      <c r="O786" s="656" t="s">
        <v>82</v>
      </c>
      <c r="P786" s="656" t="s">
        <v>45</v>
      </c>
      <c r="Q786" s="657">
        <v>132693</v>
      </c>
      <c r="R786" s="657">
        <v>132693</v>
      </c>
      <c r="S786" s="657">
        <v>1871301</v>
      </c>
      <c r="T786" s="657">
        <v>1871301</v>
      </c>
      <c r="U786" s="657">
        <v>105193.08</v>
      </c>
      <c r="V786" s="655">
        <v>2021</v>
      </c>
      <c r="W786" s="659"/>
      <c r="X786" s="660">
        <f t="shared" si="38"/>
        <v>17.789202483661473</v>
      </c>
      <c r="Y786" s="661" t="str">
        <f t="shared" si="36"/>
        <v/>
      </c>
      <c r="Z786" s="661" t="str">
        <f t="shared" si="37"/>
        <v/>
      </c>
    </row>
    <row r="787" spans="1:26" s="128" customFormat="1" ht="25" hidden="1">
      <c r="A787" s="655">
        <v>50656</v>
      </c>
      <c r="B787" s="656" t="s">
        <v>33</v>
      </c>
      <c r="C787" s="655" t="s">
        <v>2793</v>
      </c>
      <c r="D787" s="656" t="s">
        <v>908</v>
      </c>
      <c r="E787" s="656" t="s">
        <v>909</v>
      </c>
      <c r="F787" s="655">
        <v>9097</v>
      </c>
      <c r="G787" s="656" t="s">
        <v>57</v>
      </c>
      <c r="H787" s="656" t="s">
        <v>1182</v>
      </c>
      <c r="I787" s="656" t="s">
        <v>58</v>
      </c>
      <c r="J787" s="655">
        <v>22</v>
      </c>
      <c r="K787" s="655">
        <v>2</v>
      </c>
      <c r="L787" s="656" t="s">
        <v>52</v>
      </c>
      <c r="M787" s="656" t="s">
        <v>42</v>
      </c>
      <c r="N787" s="656" t="s">
        <v>426</v>
      </c>
      <c r="O787" s="656" t="s">
        <v>67</v>
      </c>
      <c r="P787" s="656" t="s">
        <v>1037</v>
      </c>
      <c r="Q787" s="657">
        <v>4021</v>
      </c>
      <c r="R787" s="657">
        <v>4021</v>
      </c>
      <c r="S787" s="657">
        <v>10057</v>
      </c>
      <c r="T787" s="657">
        <v>10057</v>
      </c>
      <c r="U787" s="657">
        <v>561.39099999999996</v>
      </c>
      <c r="V787" s="655">
        <v>2021</v>
      </c>
      <c r="W787" s="659"/>
      <c r="X787" s="660">
        <f t="shared" si="38"/>
        <v>17.914430405902483</v>
      </c>
      <c r="Y787" s="661" t="str">
        <f t="shared" si="36"/>
        <v/>
      </c>
      <c r="Z787" s="661" t="str">
        <f t="shared" si="37"/>
        <v/>
      </c>
    </row>
    <row r="788" spans="1:26" s="128" customFormat="1">
      <c r="A788" s="655">
        <v>50661</v>
      </c>
      <c r="B788" s="656" t="s">
        <v>33</v>
      </c>
      <c r="C788" s="655" t="s">
        <v>2793</v>
      </c>
      <c r="D788" s="656" t="s">
        <v>199</v>
      </c>
      <c r="E788" s="656" t="s">
        <v>200</v>
      </c>
      <c r="F788" s="655">
        <v>13982</v>
      </c>
      <c r="G788" s="656" t="s">
        <v>81</v>
      </c>
      <c r="H788" s="656" t="s">
        <v>1183</v>
      </c>
      <c r="I788" s="656" t="s">
        <v>58</v>
      </c>
      <c r="J788" s="655">
        <v>22</v>
      </c>
      <c r="K788" s="655">
        <v>2</v>
      </c>
      <c r="L788" s="656" t="s">
        <v>52</v>
      </c>
      <c r="M788" s="656" t="s">
        <v>42</v>
      </c>
      <c r="N788" s="656" t="s">
        <v>46</v>
      </c>
      <c r="O788" s="656" t="s">
        <v>46</v>
      </c>
      <c r="P788" s="656" t="s">
        <v>47</v>
      </c>
      <c r="Q788" s="657">
        <v>2656</v>
      </c>
      <c r="R788" s="657">
        <v>2656</v>
      </c>
      <c r="S788" s="657">
        <v>15406</v>
      </c>
      <c r="T788" s="657">
        <v>15406</v>
      </c>
      <c r="U788" s="657">
        <v>982.10900000000004</v>
      </c>
      <c r="V788" s="655">
        <v>2021</v>
      </c>
      <c r="W788" s="659"/>
      <c r="X788" s="660">
        <f t="shared" si="38"/>
        <v>15.686649852511279</v>
      </c>
      <c r="Y788" s="661" t="str">
        <f t="shared" si="36"/>
        <v/>
      </c>
      <c r="Z788" s="661" t="str">
        <f t="shared" si="37"/>
        <v/>
      </c>
    </row>
    <row r="789" spans="1:26" s="128" customFormat="1">
      <c r="A789" s="655">
        <v>50661</v>
      </c>
      <c r="B789" s="656" t="s">
        <v>33</v>
      </c>
      <c r="C789" s="655" t="s">
        <v>2793</v>
      </c>
      <c r="D789" s="656" t="s">
        <v>199</v>
      </c>
      <c r="E789" s="656" t="s">
        <v>200</v>
      </c>
      <c r="F789" s="655">
        <v>13982</v>
      </c>
      <c r="G789" s="656" t="s">
        <v>81</v>
      </c>
      <c r="H789" s="656" t="s">
        <v>1183</v>
      </c>
      <c r="I789" s="656" t="s">
        <v>58</v>
      </c>
      <c r="J789" s="655">
        <v>22</v>
      </c>
      <c r="K789" s="655">
        <v>2</v>
      </c>
      <c r="L789" s="656" t="s">
        <v>52</v>
      </c>
      <c r="M789" s="656" t="s">
        <v>42</v>
      </c>
      <c r="N789" s="656" t="s">
        <v>16</v>
      </c>
      <c r="O789" s="656" t="s">
        <v>64</v>
      </c>
      <c r="P789" s="656" t="s">
        <v>45</v>
      </c>
      <c r="Q789" s="657">
        <v>358745</v>
      </c>
      <c r="R789" s="657">
        <v>358745</v>
      </c>
      <c r="S789" s="657">
        <v>2381729</v>
      </c>
      <c r="T789" s="657">
        <v>2381729</v>
      </c>
      <c r="U789" s="657">
        <v>151316.38</v>
      </c>
      <c r="V789" s="655">
        <v>2021</v>
      </c>
      <c r="W789" s="659"/>
      <c r="X789" s="660">
        <f t="shared" si="38"/>
        <v>15.740060659658921</v>
      </c>
      <c r="Y789" s="661" t="str">
        <f t="shared" si="36"/>
        <v/>
      </c>
      <c r="Z789" s="661" t="str">
        <f t="shared" si="37"/>
        <v/>
      </c>
    </row>
    <row r="790" spans="1:26" s="128" customFormat="1">
      <c r="A790" s="655">
        <v>50661</v>
      </c>
      <c r="B790" s="656" t="s">
        <v>33</v>
      </c>
      <c r="C790" s="655" t="s">
        <v>2793</v>
      </c>
      <c r="D790" s="656" t="s">
        <v>199</v>
      </c>
      <c r="E790" s="656" t="s">
        <v>200</v>
      </c>
      <c r="F790" s="655">
        <v>13982</v>
      </c>
      <c r="G790" s="656" t="s">
        <v>81</v>
      </c>
      <c r="H790" s="656" t="s">
        <v>1183</v>
      </c>
      <c r="I790" s="656" t="s">
        <v>58</v>
      </c>
      <c r="J790" s="655">
        <v>22</v>
      </c>
      <c r="K790" s="655">
        <v>2</v>
      </c>
      <c r="L790" s="656" t="s">
        <v>52</v>
      </c>
      <c r="M790" s="656" t="s">
        <v>42</v>
      </c>
      <c r="N790" s="656" t="s">
        <v>17</v>
      </c>
      <c r="O790" s="656" t="s">
        <v>82</v>
      </c>
      <c r="P790" s="656" t="s">
        <v>45</v>
      </c>
      <c r="Q790" s="657">
        <v>229360</v>
      </c>
      <c r="R790" s="657">
        <v>229360</v>
      </c>
      <c r="S790" s="657">
        <v>2911151</v>
      </c>
      <c r="T790" s="657">
        <v>2911151</v>
      </c>
      <c r="U790" s="657">
        <v>184951.51</v>
      </c>
      <c r="V790" s="655">
        <v>2021</v>
      </c>
      <c r="W790" s="659"/>
      <c r="X790" s="660">
        <f t="shared" si="38"/>
        <v>15.740076953143015</v>
      </c>
      <c r="Y790" s="661" t="str">
        <f t="shared" si="36"/>
        <v/>
      </c>
      <c r="Z790" s="661" t="str">
        <f t="shared" si="37"/>
        <v/>
      </c>
    </row>
    <row r="791" spans="1:26" s="128" customFormat="1" ht="25" hidden="1">
      <c r="A791" s="655">
        <v>50662</v>
      </c>
      <c r="B791" s="656" t="s">
        <v>33</v>
      </c>
      <c r="C791" s="655" t="s">
        <v>2793</v>
      </c>
      <c r="D791" s="656" t="s">
        <v>910</v>
      </c>
      <c r="E791" s="656" t="s">
        <v>911</v>
      </c>
      <c r="F791" s="655">
        <v>4487</v>
      </c>
      <c r="G791" s="656" t="s">
        <v>57</v>
      </c>
      <c r="H791" s="656" t="s">
        <v>1182</v>
      </c>
      <c r="I791" s="656" t="s">
        <v>58</v>
      </c>
      <c r="J791" s="655">
        <v>562213</v>
      </c>
      <c r="K791" s="655">
        <v>4</v>
      </c>
      <c r="L791" s="656" t="s">
        <v>412</v>
      </c>
      <c r="M791" s="656" t="s">
        <v>42</v>
      </c>
      <c r="N791" s="656" t="s">
        <v>16</v>
      </c>
      <c r="O791" s="656" t="s">
        <v>64</v>
      </c>
      <c r="P791" s="656" t="s">
        <v>45</v>
      </c>
      <c r="Q791" s="657">
        <v>218986</v>
      </c>
      <c r="R791" s="657">
        <v>218986</v>
      </c>
      <c r="S791" s="657">
        <v>1788888</v>
      </c>
      <c r="T791" s="657">
        <v>1788888</v>
      </c>
      <c r="U791" s="657">
        <v>100775.82</v>
      </c>
      <c r="V791" s="655">
        <v>2021</v>
      </c>
      <c r="W791" s="659"/>
      <c r="X791" s="660" t="str">
        <f t="shared" si="38"/>
        <v/>
      </c>
      <c r="Y791" s="661" t="str">
        <f t="shared" si="36"/>
        <v/>
      </c>
      <c r="Z791" s="661" t="str">
        <f t="shared" si="37"/>
        <v/>
      </c>
    </row>
    <row r="792" spans="1:26" s="128" customFormat="1" ht="25" hidden="1">
      <c r="A792" s="655">
        <v>50662</v>
      </c>
      <c r="B792" s="656" t="s">
        <v>33</v>
      </c>
      <c r="C792" s="655" t="s">
        <v>2793</v>
      </c>
      <c r="D792" s="656" t="s">
        <v>910</v>
      </c>
      <c r="E792" s="656" t="s">
        <v>911</v>
      </c>
      <c r="F792" s="655">
        <v>4487</v>
      </c>
      <c r="G792" s="656" t="s">
        <v>57</v>
      </c>
      <c r="H792" s="656" t="s">
        <v>1182</v>
      </c>
      <c r="I792" s="656" t="s">
        <v>58</v>
      </c>
      <c r="J792" s="655">
        <v>562213</v>
      </c>
      <c r="K792" s="655">
        <v>4</v>
      </c>
      <c r="L792" s="656" t="s">
        <v>412</v>
      </c>
      <c r="M792" s="656" t="s">
        <v>42</v>
      </c>
      <c r="N792" s="656" t="s">
        <v>17</v>
      </c>
      <c r="O792" s="656" t="s">
        <v>82</v>
      </c>
      <c r="P792" s="656" t="s">
        <v>45</v>
      </c>
      <c r="Q792" s="657">
        <v>140007</v>
      </c>
      <c r="R792" s="657">
        <v>140007</v>
      </c>
      <c r="S792" s="657">
        <v>2186431</v>
      </c>
      <c r="T792" s="657">
        <v>2186431</v>
      </c>
      <c r="U792" s="657">
        <v>123171.02</v>
      </c>
      <c r="V792" s="655">
        <v>2021</v>
      </c>
      <c r="W792" s="659"/>
      <c r="X792" s="660" t="str">
        <f t="shared" si="38"/>
        <v/>
      </c>
      <c r="Y792" s="661" t="str">
        <f t="shared" si="36"/>
        <v/>
      </c>
      <c r="Z792" s="661" t="str">
        <f t="shared" si="37"/>
        <v/>
      </c>
    </row>
    <row r="793" spans="1:26" s="128" customFormat="1" ht="25" hidden="1">
      <c r="A793" s="655">
        <v>50662</v>
      </c>
      <c r="B793" s="656" t="s">
        <v>33</v>
      </c>
      <c r="C793" s="655" t="s">
        <v>2793</v>
      </c>
      <c r="D793" s="656" t="s">
        <v>910</v>
      </c>
      <c r="E793" s="656" t="s">
        <v>911</v>
      </c>
      <c r="F793" s="655">
        <v>4487</v>
      </c>
      <c r="G793" s="656" t="s">
        <v>57</v>
      </c>
      <c r="H793" s="656" t="s">
        <v>1182</v>
      </c>
      <c r="I793" s="656" t="s">
        <v>58</v>
      </c>
      <c r="J793" s="655">
        <v>562213</v>
      </c>
      <c r="K793" s="655">
        <v>4</v>
      </c>
      <c r="L793" s="656" t="s">
        <v>412</v>
      </c>
      <c r="M793" s="656" t="s">
        <v>42</v>
      </c>
      <c r="N793" s="656" t="s">
        <v>39</v>
      </c>
      <c r="O793" s="656" t="s">
        <v>39</v>
      </c>
      <c r="P793" s="656" t="s">
        <v>1037</v>
      </c>
      <c r="Q793" s="657">
        <v>16947</v>
      </c>
      <c r="R793" s="657">
        <v>16947</v>
      </c>
      <c r="S793" s="657">
        <v>17455</v>
      </c>
      <c r="T793" s="657">
        <v>17455</v>
      </c>
      <c r="U793" s="657">
        <v>948.16300000000001</v>
      </c>
      <c r="V793" s="655">
        <v>2021</v>
      </c>
      <c r="W793" s="659"/>
      <c r="X793" s="660" t="str">
        <f t="shared" si="38"/>
        <v/>
      </c>
      <c r="Y793" s="661" t="str">
        <f t="shared" si="36"/>
        <v/>
      </c>
      <c r="Z793" s="661" t="str">
        <f t="shared" si="37"/>
        <v/>
      </c>
    </row>
    <row r="794" spans="1:26" s="128" customFormat="1" ht="25" hidden="1">
      <c r="A794" s="655">
        <v>50688</v>
      </c>
      <c r="B794" s="656" t="s">
        <v>33</v>
      </c>
      <c r="C794" s="655" t="s">
        <v>2793</v>
      </c>
      <c r="D794" s="656" t="s">
        <v>912</v>
      </c>
      <c r="E794" s="656" t="s">
        <v>1053</v>
      </c>
      <c r="F794" s="655">
        <v>56838</v>
      </c>
      <c r="G794" s="656" t="s">
        <v>90</v>
      </c>
      <c r="H794" s="656" t="s">
        <v>1183</v>
      </c>
      <c r="I794" s="656" t="s">
        <v>58</v>
      </c>
      <c r="J794" s="655">
        <v>22</v>
      </c>
      <c r="K794" s="655">
        <v>2</v>
      </c>
      <c r="L794" s="656" t="s">
        <v>52</v>
      </c>
      <c r="M794" s="656" t="s">
        <v>35</v>
      </c>
      <c r="N794" s="656" t="s">
        <v>36</v>
      </c>
      <c r="O794" s="656" t="s">
        <v>37</v>
      </c>
      <c r="P794" s="656" t="s">
        <v>1176</v>
      </c>
      <c r="Q794" s="657">
        <v>0</v>
      </c>
      <c r="R794" s="657">
        <v>0</v>
      </c>
      <c r="S794" s="657">
        <v>32436</v>
      </c>
      <c r="T794" s="657">
        <v>32436</v>
      </c>
      <c r="U794" s="657">
        <v>3668</v>
      </c>
      <c r="V794" s="655">
        <v>2021</v>
      </c>
      <c r="W794" s="659"/>
      <c r="X794" s="660">
        <f t="shared" si="38"/>
        <v>8.8429661941112325</v>
      </c>
      <c r="Y794" s="661" t="str">
        <f t="shared" si="36"/>
        <v/>
      </c>
      <c r="Z794" s="661" t="str">
        <f t="shared" si="37"/>
        <v/>
      </c>
    </row>
    <row r="795" spans="1:26" s="128" customFormat="1" ht="25" hidden="1">
      <c r="A795" s="655">
        <v>50699</v>
      </c>
      <c r="B795" s="656" t="s">
        <v>33</v>
      </c>
      <c r="C795" s="655" t="s">
        <v>2793</v>
      </c>
      <c r="D795" s="656" t="s">
        <v>913</v>
      </c>
      <c r="E795" s="656" t="s">
        <v>1058</v>
      </c>
      <c r="F795" s="655">
        <v>56837</v>
      </c>
      <c r="G795" s="656" t="s">
        <v>90</v>
      </c>
      <c r="H795" s="656" t="s">
        <v>1183</v>
      </c>
      <c r="I795" s="656" t="s">
        <v>58</v>
      </c>
      <c r="J795" s="655">
        <v>22</v>
      </c>
      <c r="K795" s="655">
        <v>2</v>
      </c>
      <c r="L795" s="656" t="s">
        <v>52</v>
      </c>
      <c r="M795" s="656" t="s">
        <v>35</v>
      </c>
      <c r="N795" s="656" t="s">
        <v>36</v>
      </c>
      <c r="O795" s="656" t="s">
        <v>37</v>
      </c>
      <c r="P795" s="656" t="s">
        <v>1176</v>
      </c>
      <c r="Q795" s="657">
        <v>0</v>
      </c>
      <c r="R795" s="657">
        <v>0</v>
      </c>
      <c r="S795" s="657">
        <v>34205</v>
      </c>
      <c r="T795" s="657">
        <v>34205</v>
      </c>
      <c r="U795" s="657">
        <v>3868</v>
      </c>
      <c r="V795" s="655">
        <v>2021</v>
      </c>
      <c r="W795" s="659"/>
      <c r="X795" s="660">
        <f t="shared" si="38"/>
        <v>8.8430713547052733</v>
      </c>
      <c r="Y795" s="661" t="str">
        <f t="shared" si="36"/>
        <v/>
      </c>
      <c r="Z795" s="661" t="str">
        <f t="shared" si="37"/>
        <v/>
      </c>
    </row>
    <row r="796" spans="1:26" s="128" customFormat="1" ht="25" hidden="1">
      <c r="A796" s="655">
        <v>50702</v>
      </c>
      <c r="B796" s="656" t="s">
        <v>33</v>
      </c>
      <c r="C796" s="655" t="s">
        <v>2793</v>
      </c>
      <c r="D796" s="656" t="s">
        <v>914</v>
      </c>
      <c r="E796" s="656" t="s">
        <v>132</v>
      </c>
      <c r="F796" s="655">
        <v>7601</v>
      </c>
      <c r="G796" s="656" t="s">
        <v>90</v>
      </c>
      <c r="H796" s="656" t="s">
        <v>1183</v>
      </c>
      <c r="I796" s="656" t="s">
        <v>58</v>
      </c>
      <c r="J796" s="655">
        <v>22</v>
      </c>
      <c r="K796" s="655">
        <v>1</v>
      </c>
      <c r="L796" s="656" t="s">
        <v>34</v>
      </c>
      <c r="M796" s="656" t="s">
        <v>35</v>
      </c>
      <c r="N796" s="656" t="s">
        <v>36</v>
      </c>
      <c r="O796" s="656" t="s">
        <v>37</v>
      </c>
      <c r="P796" s="656" t="s">
        <v>1176</v>
      </c>
      <c r="Q796" s="657">
        <v>0</v>
      </c>
      <c r="R796" s="657">
        <v>0</v>
      </c>
      <c r="S796" s="657">
        <v>13291</v>
      </c>
      <c r="T796" s="657">
        <v>13291</v>
      </c>
      <c r="U796" s="657">
        <v>1503</v>
      </c>
      <c r="V796" s="655">
        <v>2021</v>
      </c>
      <c r="W796" s="659"/>
      <c r="X796" s="660">
        <f t="shared" si="38"/>
        <v>8.8429807052561546</v>
      </c>
      <c r="Y796" s="661" t="str">
        <f t="shared" si="36"/>
        <v/>
      </c>
      <c r="Z796" s="661" t="str">
        <f t="shared" si="37"/>
        <v/>
      </c>
    </row>
    <row r="797" spans="1:26" s="128" customFormat="1" ht="25" hidden="1">
      <c r="A797" s="655">
        <v>50704</v>
      </c>
      <c r="B797" s="656" t="s">
        <v>33</v>
      </c>
      <c r="C797" s="655" t="s">
        <v>2793</v>
      </c>
      <c r="D797" s="656" t="s">
        <v>915</v>
      </c>
      <c r="E797" s="656" t="s">
        <v>132</v>
      </c>
      <c r="F797" s="655">
        <v>7601</v>
      </c>
      <c r="G797" s="656" t="s">
        <v>96</v>
      </c>
      <c r="H797" s="656" t="s">
        <v>1183</v>
      </c>
      <c r="I797" s="656" t="s">
        <v>58</v>
      </c>
      <c r="J797" s="655">
        <v>22</v>
      </c>
      <c r="K797" s="655">
        <v>1</v>
      </c>
      <c r="L797" s="656" t="s">
        <v>34</v>
      </c>
      <c r="M797" s="656" t="s">
        <v>35</v>
      </c>
      <c r="N797" s="656" t="s">
        <v>36</v>
      </c>
      <c r="O797" s="656" t="s">
        <v>37</v>
      </c>
      <c r="P797" s="656" t="s">
        <v>1176</v>
      </c>
      <c r="Q797" s="657">
        <v>0</v>
      </c>
      <c r="R797" s="657">
        <v>0</v>
      </c>
      <c r="S797" s="657">
        <v>16359</v>
      </c>
      <c r="T797" s="657">
        <v>16359</v>
      </c>
      <c r="U797" s="657">
        <v>1850</v>
      </c>
      <c r="V797" s="655">
        <v>2021</v>
      </c>
      <c r="W797" s="659"/>
      <c r="X797" s="660">
        <f t="shared" si="38"/>
        <v>8.8427027027027023</v>
      </c>
      <c r="Y797" s="661" t="str">
        <f t="shared" si="36"/>
        <v/>
      </c>
      <c r="Z797" s="661" t="str">
        <f t="shared" si="37"/>
        <v/>
      </c>
    </row>
    <row r="798" spans="1:26" s="128" customFormat="1" ht="25" hidden="1">
      <c r="A798" s="655">
        <v>50713</v>
      </c>
      <c r="B798" s="656" t="s">
        <v>33</v>
      </c>
      <c r="C798" s="655" t="s">
        <v>2793</v>
      </c>
      <c r="D798" s="656" t="s">
        <v>1110</v>
      </c>
      <c r="E798" s="656" t="s">
        <v>132</v>
      </c>
      <c r="F798" s="655">
        <v>7601</v>
      </c>
      <c r="G798" s="656" t="s">
        <v>89</v>
      </c>
      <c r="H798" s="656" t="s">
        <v>1183</v>
      </c>
      <c r="I798" s="656" t="s">
        <v>58</v>
      </c>
      <c r="J798" s="655">
        <v>22</v>
      </c>
      <c r="K798" s="655">
        <v>1</v>
      </c>
      <c r="L798" s="656" t="s">
        <v>34</v>
      </c>
      <c r="M798" s="656" t="s">
        <v>35</v>
      </c>
      <c r="N798" s="656" t="s">
        <v>36</v>
      </c>
      <c r="O798" s="656" t="s">
        <v>37</v>
      </c>
      <c r="P798" s="656" t="s">
        <v>1176</v>
      </c>
      <c r="Q798" s="657">
        <v>0</v>
      </c>
      <c r="R798" s="657">
        <v>0</v>
      </c>
      <c r="S798" s="657">
        <v>193696</v>
      </c>
      <c r="T798" s="657">
        <v>193696</v>
      </c>
      <c r="U798" s="657">
        <v>21904</v>
      </c>
      <c r="V798" s="655">
        <v>2021</v>
      </c>
      <c r="W798" s="659"/>
      <c r="X798" s="660">
        <f t="shared" si="38"/>
        <v>8.8429510591672749</v>
      </c>
      <c r="Y798" s="661" t="str">
        <f t="shared" si="36"/>
        <v/>
      </c>
      <c r="Z798" s="661" t="str">
        <f t="shared" si="37"/>
        <v/>
      </c>
    </row>
    <row r="799" spans="1:26" s="128" customFormat="1" ht="25" hidden="1">
      <c r="A799" s="655">
        <v>50739</v>
      </c>
      <c r="B799" s="656" t="s">
        <v>33</v>
      </c>
      <c r="C799" s="655" t="s">
        <v>2793</v>
      </c>
      <c r="D799" s="656" t="s">
        <v>3113</v>
      </c>
      <c r="E799" s="656" t="s">
        <v>3109</v>
      </c>
      <c r="F799" s="655">
        <v>64003</v>
      </c>
      <c r="G799" s="656" t="s">
        <v>96</v>
      </c>
      <c r="H799" s="656" t="s">
        <v>1183</v>
      </c>
      <c r="I799" s="656" t="s">
        <v>58</v>
      </c>
      <c r="J799" s="655">
        <v>22</v>
      </c>
      <c r="K799" s="655">
        <v>2</v>
      </c>
      <c r="L799" s="656" t="s">
        <v>52</v>
      </c>
      <c r="M799" s="656" t="s">
        <v>42</v>
      </c>
      <c r="N799" s="656" t="s">
        <v>69</v>
      </c>
      <c r="O799" s="656" t="s">
        <v>70</v>
      </c>
      <c r="P799" s="656" t="s">
        <v>45</v>
      </c>
      <c r="Q799" s="657">
        <v>114962</v>
      </c>
      <c r="R799" s="657">
        <v>114962</v>
      </c>
      <c r="S799" s="657">
        <v>862218</v>
      </c>
      <c r="T799" s="657">
        <v>862218</v>
      </c>
      <c r="U799" s="657">
        <v>57567</v>
      </c>
      <c r="V799" s="655">
        <v>2021</v>
      </c>
      <c r="W799" s="659"/>
      <c r="X799" s="660">
        <f t="shared" si="38"/>
        <v>14.977643441555058</v>
      </c>
      <c r="Y799" s="661" t="str">
        <f t="shared" si="36"/>
        <v/>
      </c>
      <c r="Z799" s="661" t="str">
        <f t="shared" si="37"/>
        <v/>
      </c>
    </row>
    <row r="800" spans="1:26" s="128" customFormat="1" hidden="1">
      <c r="A800" s="655">
        <v>50741</v>
      </c>
      <c r="B800" s="656" t="s">
        <v>33</v>
      </c>
      <c r="C800" s="655" t="s">
        <v>2793</v>
      </c>
      <c r="D800" s="656" t="s">
        <v>916</v>
      </c>
      <c r="E800" s="656" t="s">
        <v>917</v>
      </c>
      <c r="F800" s="655">
        <v>15213</v>
      </c>
      <c r="G800" s="656" t="s">
        <v>96</v>
      </c>
      <c r="H800" s="656" t="s">
        <v>1183</v>
      </c>
      <c r="I800" s="656" t="s">
        <v>58</v>
      </c>
      <c r="J800" s="655">
        <v>22</v>
      </c>
      <c r="K800" s="655">
        <v>2</v>
      </c>
      <c r="L800" s="656" t="s">
        <v>52</v>
      </c>
      <c r="M800" s="656" t="s">
        <v>35</v>
      </c>
      <c r="N800" s="656" t="s">
        <v>36</v>
      </c>
      <c r="O800" s="656" t="s">
        <v>37</v>
      </c>
      <c r="P800" s="656" t="s">
        <v>1176</v>
      </c>
      <c r="Q800" s="657">
        <v>0</v>
      </c>
      <c r="R800" s="657">
        <v>0</v>
      </c>
      <c r="S800" s="657">
        <v>290605</v>
      </c>
      <c r="T800" s="657">
        <v>290605</v>
      </c>
      <c r="U800" s="657">
        <v>32863</v>
      </c>
      <c r="V800" s="655">
        <v>2021</v>
      </c>
      <c r="W800" s="659"/>
      <c r="X800" s="660">
        <f t="shared" si="38"/>
        <v>8.8429236527401631</v>
      </c>
      <c r="Y800" s="661" t="str">
        <f t="shared" si="36"/>
        <v/>
      </c>
      <c r="Z800" s="661" t="str">
        <f t="shared" si="37"/>
        <v/>
      </c>
    </row>
    <row r="801" spans="1:26" s="128" customFormat="1" hidden="1">
      <c r="A801" s="655">
        <v>50744</v>
      </c>
      <c r="B801" s="656" t="s">
        <v>33</v>
      </c>
      <c r="C801" s="655" t="s">
        <v>2793</v>
      </c>
      <c r="D801" s="656" t="s">
        <v>201</v>
      </c>
      <c r="E801" s="656" t="s">
        <v>918</v>
      </c>
      <c r="F801" s="655">
        <v>14182</v>
      </c>
      <c r="G801" s="656" t="s">
        <v>57</v>
      </c>
      <c r="H801" s="656" t="s">
        <v>1182</v>
      </c>
      <c r="I801" s="656" t="s">
        <v>58</v>
      </c>
      <c r="J801" s="655">
        <v>22</v>
      </c>
      <c r="K801" s="655">
        <v>2</v>
      </c>
      <c r="L801" s="656" t="s">
        <v>52</v>
      </c>
      <c r="M801" s="656" t="s">
        <v>38</v>
      </c>
      <c r="N801" s="656" t="s">
        <v>39</v>
      </c>
      <c r="O801" s="656" t="s">
        <v>39</v>
      </c>
      <c r="P801" s="656" t="s">
        <v>1037</v>
      </c>
      <c r="Q801" s="657">
        <v>0</v>
      </c>
      <c r="R801" s="657">
        <v>0</v>
      </c>
      <c r="S801" s="657">
        <v>0</v>
      </c>
      <c r="T801" s="657">
        <v>0</v>
      </c>
      <c r="U801" s="657">
        <v>4439</v>
      </c>
      <c r="V801" s="655">
        <v>2021</v>
      </c>
      <c r="W801" s="659" t="s">
        <v>3675</v>
      </c>
      <c r="X801" s="660" t="str">
        <f t="shared" si="38"/>
        <v/>
      </c>
      <c r="Y801" s="661" t="str">
        <f t="shared" si="36"/>
        <v/>
      </c>
      <c r="Z801" s="661" t="str">
        <f t="shared" si="37"/>
        <v/>
      </c>
    </row>
    <row r="802" spans="1:26" s="128" customFormat="1" hidden="1">
      <c r="A802" s="655">
        <v>50744</v>
      </c>
      <c r="B802" s="656" t="s">
        <v>33</v>
      </c>
      <c r="C802" s="655" t="s">
        <v>2793</v>
      </c>
      <c r="D802" s="656" t="s">
        <v>201</v>
      </c>
      <c r="E802" s="656" t="s">
        <v>918</v>
      </c>
      <c r="F802" s="655">
        <v>14182</v>
      </c>
      <c r="G802" s="656" t="s">
        <v>57</v>
      </c>
      <c r="H802" s="656" t="s">
        <v>1182</v>
      </c>
      <c r="I802" s="656" t="s">
        <v>58</v>
      </c>
      <c r="J802" s="655">
        <v>22</v>
      </c>
      <c r="K802" s="655">
        <v>2</v>
      </c>
      <c r="L802" s="656" t="s">
        <v>52</v>
      </c>
      <c r="M802" s="656" t="s">
        <v>41</v>
      </c>
      <c r="N802" s="656" t="s">
        <v>39</v>
      </c>
      <c r="O802" s="656" t="s">
        <v>39</v>
      </c>
      <c r="P802" s="656" t="s">
        <v>1037</v>
      </c>
      <c r="Q802" s="657">
        <v>142170</v>
      </c>
      <c r="R802" s="657">
        <v>142170</v>
      </c>
      <c r="S802" s="657">
        <v>146435</v>
      </c>
      <c r="T802" s="657">
        <v>146435</v>
      </c>
      <c r="U802" s="657">
        <v>10731</v>
      </c>
      <c r="V802" s="655">
        <v>2021</v>
      </c>
      <c r="W802" s="659" t="s">
        <v>3675</v>
      </c>
      <c r="X802" s="660">
        <f t="shared" si="38"/>
        <v>13.645978939521013</v>
      </c>
      <c r="Y802" s="661" t="str">
        <f t="shared" si="36"/>
        <v/>
      </c>
      <c r="Z802" s="661" t="str">
        <f t="shared" si="37"/>
        <v/>
      </c>
    </row>
    <row r="803" spans="1:26" s="128" customFormat="1" hidden="1">
      <c r="A803" s="655">
        <v>50744</v>
      </c>
      <c r="B803" s="656" t="s">
        <v>33</v>
      </c>
      <c r="C803" s="655" t="s">
        <v>2793</v>
      </c>
      <c r="D803" s="656" t="s">
        <v>201</v>
      </c>
      <c r="E803" s="656" t="s">
        <v>918</v>
      </c>
      <c r="F803" s="655">
        <v>14182</v>
      </c>
      <c r="G803" s="656" t="s">
        <v>57</v>
      </c>
      <c r="H803" s="656" t="s">
        <v>1182</v>
      </c>
      <c r="I803" s="656" t="s">
        <v>58</v>
      </c>
      <c r="J803" s="655">
        <v>22</v>
      </c>
      <c r="K803" s="655">
        <v>2</v>
      </c>
      <c r="L803" s="656" t="s">
        <v>52</v>
      </c>
      <c r="M803" s="656" t="s">
        <v>51</v>
      </c>
      <c r="N803" s="656" t="s">
        <v>46</v>
      </c>
      <c r="O803" s="656" t="s">
        <v>46</v>
      </c>
      <c r="P803" s="656" t="s">
        <v>47</v>
      </c>
      <c r="Q803" s="657">
        <v>2</v>
      </c>
      <c r="R803" s="657">
        <v>2</v>
      </c>
      <c r="S803" s="657">
        <v>12</v>
      </c>
      <c r="T803" s="657">
        <v>12</v>
      </c>
      <c r="U803" s="657">
        <v>1</v>
      </c>
      <c r="V803" s="655">
        <v>2021</v>
      </c>
      <c r="W803" s="659"/>
      <c r="X803" s="660">
        <f t="shared" si="38"/>
        <v>12</v>
      </c>
      <c r="Y803" s="661" t="str">
        <f t="shared" si="36"/>
        <v/>
      </c>
      <c r="Z803" s="661" t="str">
        <f t="shared" si="37"/>
        <v/>
      </c>
    </row>
    <row r="804" spans="1:26" s="128" customFormat="1" ht="25" hidden="1">
      <c r="A804" s="655">
        <v>50758</v>
      </c>
      <c r="B804" s="656" t="s">
        <v>33</v>
      </c>
      <c r="C804" s="655" t="s">
        <v>2793</v>
      </c>
      <c r="D804" s="656" t="s">
        <v>919</v>
      </c>
      <c r="E804" s="656" t="s">
        <v>920</v>
      </c>
      <c r="F804" s="655">
        <v>19013</v>
      </c>
      <c r="G804" s="656" t="s">
        <v>90</v>
      </c>
      <c r="H804" s="656" t="s">
        <v>1183</v>
      </c>
      <c r="I804" s="656" t="s">
        <v>58</v>
      </c>
      <c r="J804" s="655">
        <v>22</v>
      </c>
      <c r="K804" s="655">
        <v>2</v>
      </c>
      <c r="L804" s="656" t="s">
        <v>52</v>
      </c>
      <c r="M804" s="656" t="s">
        <v>35</v>
      </c>
      <c r="N804" s="656" t="s">
        <v>36</v>
      </c>
      <c r="O804" s="656" t="s">
        <v>37</v>
      </c>
      <c r="P804" s="656" t="s">
        <v>1176</v>
      </c>
      <c r="Q804" s="657">
        <v>0</v>
      </c>
      <c r="R804" s="657">
        <v>0</v>
      </c>
      <c r="S804" s="657">
        <v>455211</v>
      </c>
      <c r="T804" s="657">
        <v>455211</v>
      </c>
      <c r="U804" s="657">
        <v>51477</v>
      </c>
      <c r="V804" s="655">
        <v>2021</v>
      </c>
      <c r="W804" s="659"/>
      <c r="X804" s="660">
        <f t="shared" si="38"/>
        <v>8.8429978436971854</v>
      </c>
      <c r="Y804" s="661" t="str">
        <f t="shared" si="36"/>
        <v/>
      </c>
      <c r="Z804" s="661" t="str">
        <f t="shared" si="37"/>
        <v/>
      </c>
    </row>
    <row r="805" spans="1:26" s="128" customFormat="1" ht="25" hidden="1">
      <c r="A805" s="655">
        <v>50759</v>
      </c>
      <c r="B805" s="656" t="s">
        <v>33</v>
      </c>
      <c r="C805" s="655" t="s">
        <v>2793</v>
      </c>
      <c r="D805" s="656" t="s">
        <v>921</v>
      </c>
      <c r="E805" s="656" t="s">
        <v>1111</v>
      </c>
      <c r="F805" s="655">
        <v>57144</v>
      </c>
      <c r="G805" s="656" t="s">
        <v>57</v>
      </c>
      <c r="H805" s="656" t="s">
        <v>1182</v>
      </c>
      <c r="I805" s="656" t="s">
        <v>58</v>
      </c>
      <c r="J805" s="655">
        <v>22</v>
      </c>
      <c r="K805" s="655">
        <v>2</v>
      </c>
      <c r="L805" s="656" t="s">
        <v>52</v>
      </c>
      <c r="M805" s="656" t="s">
        <v>35</v>
      </c>
      <c r="N805" s="656" t="s">
        <v>36</v>
      </c>
      <c r="O805" s="656" t="s">
        <v>37</v>
      </c>
      <c r="P805" s="656" t="s">
        <v>1176</v>
      </c>
      <c r="Q805" s="657">
        <v>0</v>
      </c>
      <c r="R805" s="657">
        <v>0</v>
      </c>
      <c r="S805" s="657">
        <v>188975</v>
      </c>
      <c r="T805" s="657">
        <v>188975</v>
      </c>
      <c r="U805" s="657">
        <v>21370</v>
      </c>
      <c r="V805" s="655">
        <v>2021</v>
      </c>
      <c r="W805" s="659"/>
      <c r="X805" s="660">
        <f t="shared" si="38"/>
        <v>8.8430042115114649</v>
      </c>
      <c r="Y805" s="661" t="str">
        <f t="shared" si="36"/>
        <v/>
      </c>
      <c r="Z805" s="661" t="str">
        <f t="shared" si="37"/>
        <v/>
      </c>
    </row>
    <row r="806" spans="1:26" s="128" customFormat="1" hidden="1">
      <c r="A806" s="655">
        <v>50768</v>
      </c>
      <c r="B806" s="656" t="s">
        <v>33</v>
      </c>
      <c r="C806" s="655" t="s">
        <v>2793</v>
      </c>
      <c r="D806" s="656" t="s">
        <v>922</v>
      </c>
      <c r="E806" s="656" t="s">
        <v>3114</v>
      </c>
      <c r="F806" s="655">
        <v>63840</v>
      </c>
      <c r="G806" s="656" t="s">
        <v>57</v>
      </c>
      <c r="H806" s="656" t="s">
        <v>1182</v>
      </c>
      <c r="I806" s="656" t="s">
        <v>58</v>
      </c>
      <c r="J806" s="655">
        <v>22</v>
      </c>
      <c r="K806" s="655">
        <v>2</v>
      </c>
      <c r="L806" s="656" t="s">
        <v>52</v>
      </c>
      <c r="M806" s="656" t="s">
        <v>35</v>
      </c>
      <c r="N806" s="656" t="s">
        <v>36</v>
      </c>
      <c r="O806" s="656" t="s">
        <v>37</v>
      </c>
      <c r="P806" s="656" t="s">
        <v>1176</v>
      </c>
      <c r="Q806" s="657">
        <v>0</v>
      </c>
      <c r="R806" s="657">
        <v>0</v>
      </c>
      <c r="S806" s="657">
        <v>95009</v>
      </c>
      <c r="T806" s="657">
        <v>95009</v>
      </c>
      <c r="U806" s="657">
        <v>10744</v>
      </c>
      <c r="V806" s="655">
        <v>2021</v>
      </c>
      <c r="W806" s="659"/>
      <c r="X806" s="660">
        <f t="shared" si="38"/>
        <v>8.842982129560685</v>
      </c>
      <c r="Y806" s="661" t="str">
        <f t="shared" si="36"/>
        <v/>
      </c>
      <c r="Z806" s="661" t="str">
        <f t="shared" si="37"/>
        <v/>
      </c>
    </row>
    <row r="807" spans="1:26" s="128" customFormat="1" ht="25">
      <c r="A807" s="655">
        <v>50832</v>
      </c>
      <c r="B807" s="656" t="s">
        <v>33</v>
      </c>
      <c r="C807" s="655" t="s">
        <v>2793</v>
      </c>
      <c r="D807" s="656" t="s">
        <v>923</v>
      </c>
      <c r="E807" s="656" t="s">
        <v>1103</v>
      </c>
      <c r="F807" s="655">
        <v>3477</v>
      </c>
      <c r="G807" s="656" t="s">
        <v>81</v>
      </c>
      <c r="H807" s="656" t="s">
        <v>1183</v>
      </c>
      <c r="I807" s="656" t="s">
        <v>58</v>
      </c>
      <c r="J807" s="655">
        <v>22</v>
      </c>
      <c r="K807" s="655">
        <v>1</v>
      </c>
      <c r="L807" s="656" t="s">
        <v>34</v>
      </c>
      <c r="M807" s="656" t="s">
        <v>35</v>
      </c>
      <c r="N807" s="656" t="s">
        <v>36</v>
      </c>
      <c r="O807" s="656" t="s">
        <v>37</v>
      </c>
      <c r="P807" s="656" t="s">
        <v>1176</v>
      </c>
      <c r="Q807" s="657">
        <v>0</v>
      </c>
      <c r="R807" s="657">
        <v>0</v>
      </c>
      <c r="S807" s="657">
        <v>0</v>
      </c>
      <c r="T807" s="657">
        <v>0</v>
      </c>
      <c r="U807" s="657">
        <v>0</v>
      </c>
      <c r="V807" s="655">
        <v>2021</v>
      </c>
      <c r="W807" s="659"/>
      <c r="X807" s="660" t="str">
        <f t="shared" si="38"/>
        <v/>
      </c>
      <c r="Y807" s="661" t="str">
        <f t="shared" si="36"/>
        <v/>
      </c>
      <c r="Z807" s="661" t="str">
        <f t="shared" si="37"/>
        <v/>
      </c>
    </row>
    <row r="808" spans="1:26" s="128" customFormat="1" ht="25" hidden="1">
      <c r="A808" s="655">
        <v>50873</v>
      </c>
      <c r="B808" s="656" t="s">
        <v>33</v>
      </c>
      <c r="C808" s="655" t="s">
        <v>2793</v>
      </c>
      <c r="D808" s="656" t="s">
        <v>924</v>
      </c>
      <c r="E808" s="656" t="s">
        <v>92</v>
      </c>
      <c r="F808" s="655">
        <v>20541</v>
      </c>
      <c r="G808" s="656" t="s">
        <v>96</v>
      </c>
      <c r="H808" s="656" t="s">
        <v>1183</v>
      </c>
      <c r="I808" s="656" t="s">
        <v>58</v>
      </c>
      <c r="J808" s="655">
        <v>22</v>
      </c>
      <c r="K808" s="655">
        <v>2</v>
      </c>
      <c r="L808" s="656" t="s">
        <v>52</v>
      </c>
      <c r="M808" s="656" t="s">
        <v>42</v>
      </c>
      <c r="N808" s="656" t="s">
        <v>16</v>
      </c>
      <c r="O808" s="656" t="s">
        <v>64</v>
      </c>
      <c r="P808" s="656" t="s">
        <v>45</v>
      </c>
      <c r="Q808" s="657">
        <v>115064</v>
      </c>
      <c r="R808" s="657">
        <v>115064</v>
      </c>
      <c r="S808" s="657">
        <v>882799</v>
      </c>
      <c r="T808" s="657">
        <v>882799</v>
      </c>
      <c r="U808" s="657">
        <v>45259.322999999997</v>
      </c>
      <c r="V808" s="655">
        <v>2021</v>
      </c>
      <c r="W808" s="659"/>
      <c r="X808" s="660">
        <f t="shared" si="38"/>
        <v>19.50535141676777</v>
      </c>
      <c r="Y808" s="661" t="str">
        <f t="shared" si="36"/>
        <v/>
      </c>
      <c r="Z808" s="661" t="str">
        <f t="shared" si="37"/>
        <v/>
      </c>
    </row>
    <row r="809" spans="1:26" s="128" customFormat="1" ht="25" hidden="1">
      <c r="A809" s="655">
        <v>50873</v>
      </c>
      <c r="B809" s="656" t="s">
        <v>33</v>
      </c>
      <c r="C809" s="655" t="s">
        <v>2793</v>
      </c>
      <c r="D809" s="656" t="s">
        <v>924</v>
      </c>
      <c r="E809" s="656" t="s">
        <v>92</v>
      </c>
      <c r="F809" s="655">
        <v>20541</v>
      </c>
      <c r="G809" s="656" t="s">
        <v>96</v>
      </c>
      <c r="H809" s="656" t="s">
        <v>1183</v>
      </c>
      <c r="I809" s="656" t="s">
        <v>58</v>
      </c>
      <c r="J809" s="655">
        <v>22</v>
      </c>
      <c r="K809" s="655">
        <v>2</v>
      </c>
      <c r="L809" s="656" t="s">
        <v>52</v>
      </c>
      <c r="M809" s="656" t="s">
        <v>42</v>
      </c>
      <c r="N809" s="656" t="s">
        <v>17</v>
      </c>
      <c r="O809" s="656" t="s">
        <v>82</v>
      </c>
      <c r="P809" s="656" t="s">
        <v>45</v>
      </c>
      <c r="Q809" s="657">
        <v>73567</v>
      </c>
      <c r="R809" s="657">
        <v>73567</v>
      </c>
      <c r="S809" s="657">
        <v>1078974</v>
      </c>
      <c r="T809" s="657">
        <v>1078974</v>
      </c>
      <c r="U809" s="657">
        <v>55316.677000000003</v>
      </c>
      <c r="V809" s="655">
        <v>2021</v>
      </c>
      <c r="W809" s="659"/>
      <c r="X809" s="660">
        <f t="shared" si="38"/>
        <v>19.505401598870446</v>
      </c>
      <c r="Y809" s="661" t="str">
        <f t="shared" si="36"/>
        <v/>
      </c>
      <c r="Z809" s="661" t="str">
        <f t="shared" si="37"/>
        <v/>
      </c>
    </row>
    <row r="810" spans="1:26" s="128" customFormat="1" ht="25">
      <c r="A810" s="655">
        <v>50877</v>
      </c>
      <c r="B810" s="656" t="s">
        <v>33</v>
      </c>
      <c r="C810" s="655" t="s">
        <v>2793</v>
      </c>
      <c r="D810" s="656" t="s">
        <v>925</v>
      </c>
      <c r="E810" s="656" t="s">
        <v>92</v>
      </c>
      <c r="F810" s="655">
        <v>20541</v>
      </c>
      <c r="G810" s="656" t="s">
        <v>81</v>
      </c>
      <c r="H810" s="656" t="s">
        <v>1183</v>
      </c>
      <c r="I810" s="656" t="s">
        <v>58</v>
      </c>
      <c r="J810" s="655">
        <v>22</v>
      </c>
      <c r="K810" s="655">
        <v>2</v>
      </c>
      <c r="L810" s="656" t="s">
        <v>52</v>
      </c>
      <c r="M810" s="656" t="s">
        <v>42</v>
      </c>
      <c r="N810" s="656" t="s">
        <v>16</v>
      </c>
      <c r="O810" s="656" t="s">
        <v>64</v>
      </c>
      <c r="P810" s="656" t="s">
        <v>45</v>
      </c>
      <c r="Q810" s="657">
        <v>265651</v>
      </c>
      <c r="R810" s="657">
        <v>265651</v>
      </c>
      <c r="S810" s="657">
        <v>2038075</v>
      </c>
      <c r="T810" s="657">
        <v>2038075</v>
      </c>
      <c r="U810" s="657">
        <v>104738.2</v>
      </c>
      <c r="V810" s="655">
        <v>2021</v>
      </c>
      <c r="W810" s="659"/>
      <c r="X810" s="660">
        <f t="shared" si="38"/>
        <v>19.458755258348912</v>
      </c>
      <c r="Y810" s="661" t="str">
        <f t="shared" si="36"/>
        <v/>
      </c>
      <c r="Z810" s="661" t="str">
        <f t="shared" si="37"/>
        <v/>
      </c>
    </row>
    <row r="811" spans="1:26" s="128" customFormat="1" ht="25">
      <c r="A811" s="655">
        <v>50877</v>
      </c>
      <c r="B811" s="656" t="s">
        <v>33</v>
      </c>
      <c r="C811" s="655" t="s">
        <v>2793</v>
      </c>
      <c r="D811" s="656" t="s">
        <v>925</v>
      </c>
      <c r="E811" s="656" t="s">
        <v>92</v>
      </c>
      <c r="F811" s="655">
        <v>20541</v>
      </c>
      <c r="G811" s="656" t="s">
        <v>81</v>
      </c>
      <c r="H811" s="656" t="s">
        <v>1183</v>
      </c>
      <c r="I811" s="656" t="s">
        <v>58</v>
      </c>
      <c r="J811" s="655">
        <v>22</v>
      </c>
      <c r="K811" s="655">
        <v>2</v>
      </c>
      <c r="L811" s="656" t="s">
        <v>52</v>
      </c>
      <c r="M811" s="656" t="s">
        <v>42</v>
      </c>
      <c r="N811" s="656" t="s">
        <v>17</v>
      </c>
      <c r="O811" s="656" t="s">
        <v>82</v>
      </c>
      <c r="P811" s="656" t="s">
        <v>45</v>
      </c>
      <c r="Q811" s="657">
        <v>169841</v>
      </c>
      <c r="R811" s="657">
        <v>169841</v>
      </c>
      <c r="S811" s="657">
        <v>2491026</v>
      </c>
      <c r="T811" s="657">
        <v>2491026</v>
      </c>
      <c r="U811" s="657">
        <v>128015.8</v>
      </c>
      <c r="V811" s="655">
        <v>2021</v>
      </c>
      <c r="W811" s="659"/>
      <c r="X811" s="660">
        <f t="shared" si="38"/>
        <v>19.458738686943331</v>
      </c>
      <c r="Y811" s="661" t="str">
        <f t="shared" si="36"/>
        <v/>
      </c>
      <c r="Z811" s="661" t="str">
        <f t="shared" si="37"/>
        <v/>
      </c>
    </row>
    <row r="812" spans="1:26" s="128" customFormat="1" ht="25">
      <c r="A812" s="655">
        <v>50877</v>
      </c>
      <c r="B812" s="656" t="s">
        <v>33</v>
      </c>
      <c r="C812" s="655" t="s">
        <v>2793</v>
      </c>
      <c r="D812" s="656" t="s">
        <v>925</v>
      </c>
      <c r="E812" s="656" t="s">
        <v>92</v>
      </c>
      <c r="F812" s="655">
        <v>20541</v>
      </c>
      <c r="G812" s="656" t="s">
        <v>81</v>
      </c>
      <c r="H812" s="656" t="s">
        <v>1183</v>
      </c>
      <c r="I812" s="656" t="s">
        <v>58</v>
      </c>
      <c r="J812" s="655">
        <v>22</v>
      </c>
      <c r="K812" s="655">
        <v>2</v>
      </c>
      <c r="L812" s="656" t="s">
        <v>52</v>
      </c>
      <c r="M812" s="656" t="s">
        <v>42</v>
      </c>
      <c r="N812" s="656" t="s">
        <v>39</v>
      </c>
      <c r="O812" s="656" t="s">
        <v>39</v>
      </c>
      <c r="P812" s="656" t="s">
        <v>1037</v>
      </c>
      <c r="Q812" s="657">
        <v>0</v>
      </c>
      <c r="R812" s="657">
        <v>0</v>
      </c>
      <c r="S812" s="657">
        <v>0</v>
      </c>
      <c r="T812" s="657">
        <v>0</v>
      </c>
      <c r="U812" s="657">
        <v>0</v>
      </c>
      <c r="V812" s="655">
        <v>2021</v>
      </c>
      <c r="W812" s="659"/>
      <c r="X812" s="660" t="str">
        <f t="shared" si="38"/>
        <v/>
      </c>
      <c r="Y812" s="661" t="str">
        <f t="shared" si="36"/>
        <v/>
      </c>
      <c r="Z812" s="661" t="str">
        <f t="shared" si="37"/>
        <v/>
      </c>
    </row>
    <row r="813" spans="1:26" s="128" customFormat="1" ht="25">
      <c r="A813" s="655">
        <v>50878</v>
      </c>
      <c r="B813" s="656" t="s">
        <v>33</v>
      </c>
      <c r="C813" s="655" t="s">
        <v>2793</v>
      </c>
      <c r="D813" s="656" t="s">
        <v>926</v>
      </c>
      <c r="E813" s="656" t="s">
        <v>92</v>
      </c>
      <c r="F813" s="655">
        <v>20541</v>
      </c>
      <c r="G813" s="656" t="s">
        <v>81</v>
      </c>
      <c r="H813" s="656" t="s">
        <v>1183</v>
      </c>
      <c r="I813" s="656" t="s">
        <v>58</v>
      </c>
      <c r="J813" s="655">
        <v>22</v>
      </c>
      <c r="K813" s="655">
        <v>2</v>
      </c>
      <c r="L813" s="656" t="s">
        <v>52</v>
      </c>
      <c r="M813" s="656" t="s">
        <v>42</v>
      </c>
      <c r="N813" s="656" t="s">
        <v>16</v>
      </c>
      <c r="O813" s="656" t="s">
        <v>64</v>
      </c>
      <c r="P813" s="656" t="s">
        <v>45</v>
      </c>
      <c r="Q813" s="657">
        <v>297930</v>
      </c>
      <c r="R813" s="657">
        <v>297930</v>
      </c>
      <c r="S813" s="657">
        <v>2285721</v>
      </c>
      <c r="T813" s="657">
        <v>2285721</v>
      </c>
      <c r="U813" s="657">
        <v>144257.9</v>
      </c>
      <c r="V813" s="655">
        <v>2021</v>
      </c>
      <c r="W813" s="659"/>
      <c r="X813" s="660">
        <f t="shared" si="38"/>
        <v>15.844685109099744</v>
      </c>
      <c r="Y813" s="661" t="str">
        <f t="shared" si="36"/>
        <v/>
      </c>
      <c r="Z813" s="661" t="str">
        <f t="shared" si="37"/>
        <v/>
      </c>
    </row>
    <row r="814" spans="1:26" s="128" customFormat="1" ht="25">
      <c r="A814" s="655">
        <v>50878</v>
      </c>
      <c r="B814" s="656" t="s">
        <v>33</v>
      </c>
      <c r="C814" s="655" t="s">
        <v>2793</v>
      </c>
      <c r="D814" s="656" t="s">
        <v>926</v>
      </c>
      <c r="E814" s="656" t="s">
        <v>92</v>
      </c>
      <c r="F814" s="655">
        <v>20541</v>
      </c>
      <c r="G814" s="656" t="s">
        <v>81</v>
      </c>
      <c r="H814" s="656" t="s">
        <v>1183</v>
      </c>
      <c r="I814" s="656" t="s">
        <v>58</v>
      </c>
      <c r="J814" s="655">
        <v>22</v>
      </c>
      <c r="K814" s="655">
        <v>2</v>
      </c>
      <c r="L814" s="656" t="s">
        <v>52</v>
      </c>
      <c r="M814" s="656" t="s">
        <v>42</v>
      </c>
      <c r="N814" s="656" t="s">
        <v>17</v>
      </c>
      <c r="O814" s="656" t="s">
        <v>82</v>
      </c>
      <c r="P814" s="656" t="s">
        <v>45</v>
      </c>
      <c r="Q814" s="657">
        <v>190482</v>
      </c>
      <c r="R814" s="657">
        <v>190482</v>
      </c>
      <c r="S814" s="657">
        <v>2793701</v>
      </c>
      <c r="T814" s="657">
        <v>2793701</v>
      </c>
      <c r="U814" s="657">
        <v>176318.1</v>
      </c>
      <c r="V814" s="655">
        <v>2021</v>
      </c>
      <c r="W814" s="659"/>
      <c r="X814" s="660">
        <f t="shared" si="38"/>
        <v>15.844663707242761</v>
      </c>
      <c r="Y814" s="661" t="str">
        <f t="shared" si="36"/>
        <v/>
      </c>
      <c r="Z814" s="661" t="str">
        <f t="shared" si="37"/>
        <v/>
      </c>
    </row>
    <row r="815" spans="1:26" s="128" customFormat="1" ht="25">
      <c r="A815" s="655">
        <v>50880</v>
      </c>
      <c r="B815" s="656" t="s">
        <v>33</v>
      </c>
      <c r="C815" s="655" t="s">
        <v>2793</v>
      </c>
      <c r="D815" s="656" t="s">
        <v>202</v>
      </c>
      <c r="E815" s="656" t="s">
        <v>92</v>
      </c>
      <c r="F815" s="655">
        <v>20541</v>
      </c>
      <c r="G815" s="656" t="s">
        <v>81</v>
      </c>
      <c r="H815" s="656" t="s">
        <v>1183</v>
      </c>
      <c r="I815" s="656" t="s">
        <v>58</v>
      </c>
      <c r="J815" s="655">
        <v>22</v>
      </c>
      <c r="K815" s="655">
        <v>2</v>
      </c>
      <c r="L815" s="656" t="s">
        <v>52</v>
      </c>
      <c r="M815" s="656" t="s">
        <v>42</v>
      </c>
      <c r="N815" s="656" t="s">
        <v>16</v>
      </c>
      <c r="O815" s="656" t="s">
        <v>64</v>
      </c>
      <c r="P815" s="656" t="s">
        <v>45</v>
      </c>
      <c r="Q815" s="657">
        <v>233699</v>
      </c>
      <c r="R815" s="657">
        <v>233699</v>
      </c>
      <c r="S815" s="657">
        <v>1792938</v>
      </c>
      <c r="T815" s="657">
        <v>1792938</v>
      </c>
      <c r="U815" s="657">
        <v>80382.241999999998</v>
      </c>
      <c r="V815" s="655">
        <v>2021</v>
      </c>
      <c r="W815" s="659"/>
      <c r="X815" s="660">
        <f t="shared" si="38"/>
        <v>22.305150433599501</v>
      </c>
      <c r="Y815" s="661" t="str">
        <f t="shared" si="36"/>
        <v/>
      </c>
      <c r="Z815" s="661" t="str">
        <f t="shared" si="37"/>
        <v/>
      </c>
    </row>
    <row r="816" spans="1:26" s="128" customFormat="1" ht="25">
      <c r="A816" s="655">
        <v>50880</v>
      </c>
      <c r="B816" s="656" t="s">
        <v>33</v>
      </c>
      <c r="C816" s="655" t="s">
        <v>2793</v>
      </c>
      <c r="D816" s="656" t="s">
        <v>202</v>
      </c>
      <c r="E816" s="656" t="s">
        <v>92</v>
      </c>
      <c r="F816" s="655">
        <v>20541</v>
      </c>
      <c r="G816" s="656" t="s">
        <v>81</v>
      </c>
      <c r="H816" s="656" t="s">
        <v>1183</v>
      </c>
      <c r="I816" s="656" t="s">
        <v>58</v>
      </c>
      <c r="J816" s="655">
        <v>22</v>
      </c>
      <c r="K816" s="655">
        <v>2</v>
      </c>
      <c r="L816" s="656" t="s">
        <v>52</v>
      </c>
      <c r="M816" s="656" t="s">
        <v>42</v>
      </c>
      <c r="N816" s="656" t="s">
        <v>17</v>
      </c>
      <c r="O816" s="656" t="s">
        <v>82</v>
      </c>
      <c r="P816" s="656" t="s">
        <v>45</v>
      </c>
      <c r="Q816" s="657">
        <v>149414</v>
      </c>
      <c r="R816" s="657">
        <v>149414</v>
      </c>
      <c r="S816" s="657">
        <v>2191386</v>
      </c>
      <c r="T816" s="657">
        <v>2191386</v>
      </c>
      <c r="U816" s="657">
        <v>98245.758000000002</v>
      </c>
      <c r="V816" s="655">
        <v>2021</v>
      </c>
      <c r="W816" s="659"/>
      <c r="X816" s="660">
        <f t="shared" si="38"/>
        <v>22.305146243566057</v>
      </c>
      <c r="Y816" s="661" t="str">
        <f t="shared" si="36"/>
        <v/>
      </c>
      <c r="Z816" s="661" t="str">
        <f t="shared" si="37"/>
        <v/>
      </c>
    </row>
    <row r="817" spans="1:26" s="128" customFormat="1" ht="25" hidden="1">
      <c r="A817" s="655">
        <v>50882</v>
      </c>
      <c r="B817" s="656" t="s">
        <v>54</v>
      </c>
      <c r="C817" s="655" t="s">
        <v>2793</v>
      </c>
      <c r="D817" s="656" t="s">
        <v>203</v>
      </c>
      <c r="E817" s="656" t="s">
        <v>92</v>
      </c>
      <c r="F817" s="655">
        <v>20541</v>
      </c>
      <c r="G817" s="656" t="s">
        <v>57</v>
      </c>
      <c r="H817" s="656" t="s">
        <v>1182</v>
      </c>
      <c r="I817" s="656" t="s">
        <v>58</v>
      </c>
      <c r="J817" s="655">
        <v>22</v>
      </c>
      <c r="K817" s="655">
        <v>3</v>
      </c>
      <c r="L817" s="656" t="s">
        <v>55</v>
      </c>
      <c r="M817" s="656" t="s">
        <v>42</v>
      </c>
      <c r="N817" s="656" t="s">
        <v>16</v>
      </c>
      <c r="O817" s="656" t="s">
        <v>64</v>
      </c>
      <c r="P817" s="656" t="s">
        <v>45</v>
      </c>
      <c r="Q817" s="657">
        <v>385230</v>
      </c>
      <c r="R817" s="657">
        <v>247351</v>
      </c>
      <c r="S817" s="657">
        <v>2955485</v>
      </c>
      <c r="T817" s="657">
        <v>1897678</v>
      </c>
      <c r="U817" s="657">
        <v>145417.12</v>
      </c>
      <c r="V817" s="655">
        <v>2021</v>
      </c>
      <c r="W817" s="659"/>
      <c r="X817" s="660">
        <f t="shared" si="38"/>
        <v>13.049893987723042</v>
      </c>
      <c r="Y817" s="661" t="str">
        <f t="shared" si="36"/>
        <v/>
      </c>
      <c r="Z817" s="661" t="str">
        <f t="shared" si="37"/>
        <v/>
      </c>
    </row>
    <row r="818" spans="1:26" s="128" customFormat="1" ht="25" hidden="1">
      <c r="A818" s="655">
        <v>50882</v>
      </c>
      <c r="B818" s="656" t="s">
        <v>54</v>
      </c>
      <c r="C818" s="655" t="s">
        <v>2793</v>
      </c>
      <c r="D818" s="656" t="s">
        <v>203</v>
      </c>
      <c r="E818" s="656" t="s">
        <v>92</v>
      </c>
      <c r="F818" s="655">
        <v>20541</v>
      </c>
      <c r="G818" s="656" t="s">
        <v>57</v>
      </c>
      <c r="H818" s="656" t="s">
        <v>1182</v>
      </c>
      <c r="I818" s="656" t="s">
        <v>58</v>
      </c>
      <c r="J818" s="655">
        <v>22</v>
      </c>
      <c r="K818" s="655">
        <v>3</v>
      </c>
      <c r="L818" s="656" t="s">
        <v>55</v>
      </c>
      <c r="M818" s="656" t="s">
        <v>42</v>
      </c>
      <c r="N818" s="656" t="s">
        <v>17</v>
      </c>
      <c r="O818" s="656" t="s">
        <v>82</v>
      </c>
      <c r="P818" s="656" t="s">
        <v>45</v>
      </c>
      <c r="Q818" s="657">
        <v>246292</v>
      </c>
      <c r="R818" s="657">
        <v>158141</v>
      </c>
      <c r="S818" s="657">
        <v>3612320</v>
      </c>
      <c r="T818" s="657">
        <v>2319419</v>
      </c>
      <c r="U818" s="657">
        <v>177734.89</v>
      </c>
      <c r="V818" s="655">
        <v>2021</v>
      </c>
      <c r="W818" s="659"/>
      <c r="X818" s="660">
        <f t="shared" si="38"/>
        <v>13.049880077006826</v>
      </c>
      <c r="Y818" s="661" t="str">
        <f t="shared" si="36"/>
        <v/>
      </c>
      <c r="Z818" s="661" t="str">
        <f t="shared" si="37"/>
        <v/>
      </c>
    </row>
    <row r="819" spans="1:26" s="128" customFormat="1" ht="25" hidden="1">
      <c r="A819" s="655">
        <v>50882</v>
      </c>
      <c r="B819" s="656" t="s">
        <v>54</v>
      </c>
      <c r="C819" s="655" t="s">
        <v>2793</v>
      </c>
      <c r="D819" s="656" t="s">
        <v>203</v>
      </c>
      <c r="E819" s="656" t="s">
        <v>92</v>
      </c>
      <c r="F819" s="655">
        <v>20541</v>
      </c>
      <c r="G819" s="656" t="s">
        <v>57</v>
      </c>
      <c r="H819" s="656" t="s">
        <v>1182</v>
      </c>
      <c r="I819" s="656" t="s">
        <v>58</v>
      </c>
      <c r="J819" s="655">
        <v>22</v>
      </c>
      <c r="K819" s="655">
        <v>3</v>
      </c>
      <c r="L819" s="656" t="s">
        <v>55</v>
      </c>
      <c r="M819" s="656" t="s">
        <v>42</v>
      </c>
      <c r="N819" s="656" t="s">
        <v>39</v>
      </c>
      <c r="O819" s="656" t="s">
        <v>39</v>
      </c>
      <c r="P819" s="656" t="s">
        <v>1037</v>
      </c>
      <c r="Q819" s="657">
        <v>0</v>
      </c>
      <c r="R819" s="657">
        <v>0</v>
      </c>
      <c r="S819" s="657">
        <v>0</v>
      </c>
      <c r="T819" s="657">
        <v>0</v>
      </c>
      <c r="U819" s="657">
        <v>0</v>
      </c>
      <c r="V819" s="655">
        <v>2021</v>
      </c>
      <c r="W819" s="659"/>
      <c r="X819" s="660" t="str">
        <f t="shared" si="38"/>
        <v/>
      </c>
      <c r="Y819" s="661" t="str">
        <f t="shared" si="36"/>
        <v/>
      </c>
      <c r="Z819" s="661" t="str">
        <f t="shared" si="37"/>
        <v/>
      </c>
    </row>
    <row r="820" spans="1:26" s="128" customFormat="1" ht="25" hidden="1">
      <c r="A820" s="655">
        <v>50883</v>
      </c>
      <c r="B820" s="656" t="s">
        <v>33</v>
      </c>
      <c r="C820" s="655" t="s">
        <v>2793</v>
      </c>
      <c r="D820" s="656" t="s">
        <v>204</v>
      </c>
      <c r="E820" s="656" t="s">
        <v>92</v>
      </c>
      <c r="F820" s="655">
        <v>20541</v>
      </c>
      <c r="G820" s="656" t="s">
        <v>41</v>
      </c>
      <c r="H820" s="656" t="s">
        <v>1183</v>
      </c>
      <c r="I820" s="656" t="s">
        <v>58</v>
      </c>
      <c r="J820" s="655">
        <v>22</v>
      </c>
      <c r="K820" s="655">
        <v>2</v>
      </c>
      <c r="L820" s="656" t="s">
        <v>52</v>
      </c>
      <c r="M820" s="656" t="s">
        <v>42</v>
      </c>
      <c r="N820" s="656" t="s">
        <v>16</v>
      </c>
      <c r="O820" s="656" t="s">
        <v>64</v>
      </c>
      <c r="P820" s="656" t="s">
        <v>45</v>
      </c>
      <c r="Q820" s="657">
        <v>449795</v>
      </c>
      <c r="R820" s="657">
        <v>449795</v>
      </c>
      <c r="S820" s="657">
        <v>3450828</v>
      </c>
      <c r="T820" s="657">
        <v>3450828</v>
      </c>
      <c r="U820" s="657">
        <v>210214.95</v>
      </c>
      <c r="V820" s="655">
        <v>2021</v>
      </c>
      <c r="W820" s="659"/>
      <c r="X820" s="660">
        <f t="shared" si="38"/>
        <v>16.415711632307787</v>
      </c>
      <c r="Y820" s="661" t="str">
        <f t="shared" si="36"/>
        <v/>
      </c>
      <c r="Z820" s="661" t="str">
        <f t="shared" si="37"/>
        <v/>
      </c>
    </row>
    <row r="821" spans="1:26" s="128" customFormat="1" ht="25" hidden="1">
      <c r="A821" s="655">
        <v>50883</v>
      </c>
      <c r="B821" s="656" t="s">
        <v>33</v>
      </c>
      <c r="C821" s="655" t="s">
        <v>2793</v>
      </c>
      <c r="D821" s="656" t="s">
        <v>204</v>
      </c>
      <c r="E821" s="656" t="s">
        <v>92</v>
      </c>
      <c r="F821" s="655">
        <v>20541</v>
      </c>
      <c r="G821" s="656" t="s">
        <v>41</v>
      </c>
      <c r="H821" s="656" t="s">
        <v>1183</v>
      </c>
      <c r="I821" s="656" t="s">
        <v>58</v>
      </c>
      <c r="J821" s="655">
        <v>22</v>
      </c>
      <c r="K821" s="655">
        <v>2</v>
      </c>
      <c r="L821" s="656" t="s">
        <v>52</v>
      </c>
      <c r="M821" s="656" t="s">
        <v>42</v>
      </c>
      <c r="N821" s="656" t="s">
        <v>17</v>
      </c>
      <c r="O821" s="656" t="s">
        <v>82</v>
      </c>
      <c r="P821" s="656" t="s">
        <v>45</v>
      </c>
      <c r="Q821" s="657">
        <v>287571</v>
      </c>
      <c r="R821" s="657">
        <v>287571</v>
      </c>
      <c r="S821" s="657">
        <v>4217755</v>
      </c>
      <c r="T821" s="657">
        <v>4217755</v>
      </c>
      <c r="U821" s="657">
        <v>256934.05</v>
      </c>
      <c r="V821" s="655">
        <v>2021</v>
      </c>
      <c r="W821" s="659"/>
      <c r="X821" s="660">
        <f t="shared" si="38"/>
        <v>16.41571056852916</v>
      </c>
      <c r="Y821" s="661" t="str">
        <f t="shared" si="36"/>
        <v/>
      </c>
      <c r="Z821" s="661" t="str">
        <f t="shared" si="37"/>
        <v/>
      </c>
    </row>
    <row r="822" spans="1:26" s="128" customFormat="1" ht="25" hidden="1">
      <c r="A822" s="655">
        <v>50907</v>
      </c>
      <c r="B822" s="656" t="s">
        <v>54</v>
      </c>
      <c r="C822" s="655" t="s">
        <v>2793</v>
      </c>
      <c r="D822" s="656" t="s">
        <v>927</v>
      </c>
      <c r="E822" s="656" t="s">
        <v>928</v>
      </c>
      <c r="F822" s="655">
        <v>14222</v>
      </c>
      <c r="G822" s="656" t="s">
        <v>57</v>
      </c>
      <c r="H822" s="656" t="s">
        <v>1182</v>
      </c>
      <c r="I822" s="656" t="s">
        <v>58</v>
      </c>
      <c r="J822" s="655">
        <v>562212</v>
      </c>
      <c r="K822" s="655">
        <v>5</v>
      </c>
      <c r="L822" s="656" t="s">
        <v>413</v>
      </c>
      <c r="M822" s="656" t="s">
        <v>42</v>
      </c>
      <c r="N822" s="656" t="s">
        <v>16</v>
      </c>
      <c r="O822" s="656" t="s">
        <v>64</v>
      </c>
      <c r="P822" s="656" t="s">
        <v>45</v>
      </c>
      <c r="Q822" s="657">
        <v>29753</v>
      </c>
      <c r="R822" s="657">
        <v>2425</v>
      </c>
      <c r="S822" s="657">
        <v>263373</v>
      </c>
      <c r="T822" s="657">
        <v>21464</v>
      </c>
      <c r="U822" s="657">
        <v>3539.0920000000001</v>
      </c>
      <c r="V822" s="655">
        <v>2021</v>
      </c>
      <c r="W822" s="659"/>
      <c r="X822" s="660" t="str">
        <f t="shared" si="38"/>
        <v/>
      </c>
      <c r="Y822" s="661" t="str">
        <f t="shared" si="36"/>
        <v/>
      </c>
      <c r="Z822" s="661" t="str">
        <f t="shared" si="37"/>
        <v/>
      </c>
    </row>
    <row r="823" spans="1:26" s="128" customFormat="1" ht="25" hidden="1">
      <c r="A823" s="655">
        <v>50907</v>
      </c>
      <c r="B823" s="656" t="s">
        <v>54</v>
      </c>
      <c r="C823" s="655" t="s">
        <v>2793</v>
      </c>
      <c r="D823" s="656" t="s">
        <v>927</v>
      </c>
      <c r="E823" s="656" t="s">
        <v>928</v>
      </c>
      <c r="F823" s="655">
        <v>14222</v>
      </c>
      <c r="G823" s="656" t="s">
        <v>57</v>
      </c>
      <c r="H823" s="656" t="s">
        <v>1182</v>
      </c>
      <c r="I823" s="656" t="s">
        <v>58</v>
      </c>
      <c r="J823" s="655">
        <v>562212</v>
      </c>
      <c r="K823" s="655">
        <v>5</v>
      </c>
      <c r="L823" s="656" t="s">
        <v>413</v>
      </c>
      <c r="M823" s="656" t="s">
        <v>42</v>
      </c>
      <c r="N823" s="656" t="s">
        <v>17</v>
      </c>
      <c r="O823" s="656" t="s">
        <v>82</v>
      </c>
      <c r="P823" s="656" t="s">
        <v>45</v>
      </c>
      <c r="Q823" s="657">
        <v>19022</v>
      </c>
      <c r="R823" s="657">
        <v>1550</v>
      </c>
      <c r="S823" s="657">
        <v>321909</v>
      </c>
      <c r="T823" s="657">
        <v>26233</v>
      </c>
      <c r="U823" s="657">
        <v>4325.6679999999997</v>
      </c>
      <c r="V823" s="655">
        <v>2021</v>
      </c>
      <c r="W823" s="659"/>
      <c r="X823" s="660" t="str">
        <f t="shared" si="38"/>
        <v/>
      </c>
      <c r="Y823" s="661" t="str">
        <f t="shared" si="36"/>
        <v/>
      </c>
      <c r="Z823" s="661" t="str">
        <f t="shared" si="37"/>
        <v/>
      </c>
    </row>
    <row r="824" spans="1:26" s="128" customFormat="1" ht="25" hidden="1">
      <c r="A824" s="655">
        <v>50907</v>
      </c>
      <c r="B824" s="656" t="s">
        <v>54</v>
      </c>
      <c r="C824" s="655" t="s">
        <v>2793</v>
      </c>
      <c r="D824" s="656" t="s">
        <v>927</v>
      </c>
      <c r="E824" s="656" t="s">
        <v>928</v>
      </c>
      <c r="F824" s="655">
        <v>14222</v>
      </c>
      <c r="G824" s="656" t="s">
        <v>57</v>
      </c>
      <c r="H824" s="656" t="s">
        <v>1182</v>
      </c>
      <c r="I824" s="656" t="s">
        <v>58</v>
      </c>
      <c r="J824" s="655">
        <v>562212</v>
      </c>
      <c r="K824" s="655">
        <v>5</v>
      </c>
      <c r="L824" s="656" t="s">
        <v>413</v>
      </c>
      <c r="M824" s="656" t="s">
        <v>42</v>
      </c>
      <c r="N824" s="656" t="s">
        <v>39</v>
      </c>
      <c r="O824" s="656" t="s">
        <v>39</v>
      </c>
      <c r="P824" s="656" t="s">
        <v>1037</v>
      </c>
      <c r="Q824" s="657">
        <v>0</v>
      </c>
      <c r="R824" s="657">
        <v>0</v>
      </c>
      <c r="S824" s="657">
        <v>0</v>
      </c>
      <c r="T824" s="657">
        <v>0</v>
      </c>
      <c r="U824" s="657">
        <v>0</v>
      </c>
      <c r="V824" s="655">
        <v>2021</v>
      </c>
      <c r="W824" s="659"/>
      <c r="X824" s="660" t="str">
        <f t="shared" si="38"/>
        <v/>
      </c>
      <c r="Y824" s="661" t="str">
        <f t="shared" si="36"/>
        <v/>
      </c>
      <c r="Z824" s="661" t="str">
        <f t="shared" si="37"/>
        <v/>
      </c>
    </row>
    <row r="825" spans="1:26" s="128" customFormat="1" hidden="1">
      <c r="A825" s="655">
        <v>50955</v>
      </c>
      <c r="B825" s="656" t="s">
        <v>54</v>
      </c>
      <c r="C825" s="655" t="s">
        <v>2793</v>
      </c>
      <c r="D825" s="656" t="s">
        <v>1163</v>
      </c>
      <c r="E825" s="656" t="s">
        <v>1163</v>
      </c>
      <c r="F825" s="655">
        <v>5623</v>
      </c>
      <c r="G825" s="656" t="s">
        <v>81</v>
      </c>
      <c r="H825" s="656" t="s">
        <v>1183</v>
      </c>
      <c r="I825" s="656" t="s">
        <v>58</v>
      </c>
      <c r="J825" s="655">
        <v>325</v>
      </c>
      <c r="K825" s="655">
        <v>7</v>
      </c>
      <c r="L825" s="656" t="s">
        <v>409</v>
      </c>
      <c r="M825" s="656" t="s">
        <v>42</v>
      </c>
      <c r="N825" s="656" t="s">
        <v>39</v>
      </c>
      <c r="O825" s="656" t="s">
        <v>39</v>
      </c>
      <c r="P825" s="656" t="s">
        <v>1037</v>
      </c>
      <c r="Q825" s="657">
        <v>725601</v>
      </c>
      <c r="R825" s="657">
        <v>64127</v>
      </c>
      <c r="S825" s="657">
        <v>747367</v>
      </c>
      <c r="T825" s="657">
        <v>66051</v>
      </c>
      <c r="U825" s="657">
        <v>15629.822</v>
      </c>
      <c r="V825" s="655">
        <v>2021</v>
      </c>
      <c r="W825" s="659"/>
      <c r="X825" s="660" t="str">
        <f t="shared" si="38"/>
        <v/>
      </c>
      <c r="Y825" s="661" t="str">
        <f t="shared" si="36"/>
        <v/>
      </c>
      <c r="Z825" s="661" t="str">
        <f t="shared" si="37"/>
        <v/>
      </c>
    </row>
    <row r="826" spans="1:26" s="128" customFormat="1" hidden="1">
      <c r="A826" s="655">
        <v>50955</v>
      </c>
      <c r="B826" s="656" t="s">
        <v>54</v>
      </c>
      <c r="C826" s="655" t="s">
        <v>2793</v>
      </c>
      <c r="D826" s="656" t="s">
        <v>1163</v>
      </c>
      <c r="E826" s="656" t="s">
        <v>1163</v>
      </c>
      <c r="F826" s="655">
        <v>5623</v>
      </c>
      <c r="G826" s="656" t="s">
        <v>81</v>
      </c>
      <c r="H826" s="656" t="s">
        <v>1183</v>
      </c>
      <c r="I826" s="656" t="s">
        <v>58</v>
      </c>
      <c r="J826" s="655">
        <v>325</v>
      </c>
      <c r="K826" s="655">
        <v>7</v>
      </c>
      <c r="L826" s="656" t="s">
        <v>409</v>
      </c>
      <c r="M826" s="656" t="s">
        <v>42</v>
      </c>
      <c r="N826" s="656" t="s">
        <v>426</v>
      </c>
      <c r="O826" s="656" t="s">
        <v>67</v>
      </c>
      <c r="P826" s="656" t="s">
        <v>1037</v>
      </c>
      <c r="Q826" s="657">
        <v>4</v>
      </c>
      <c r="R826" s="657">
        <v>0</v>
      </c>
      <c r="S826" s="657">
        <v>12</v>
      </c>
      <c r="T826" s="657">
        <v>0</v>
      </c>
      <c r="U826" s="657">
        <v>0.17799999999999999</v>
      </c>
      <c r="V826" s="655">
        <v>2021</v>
      </c>
      <c r="W826" s="659"/>
      <c r="X826" s="660" t="str">
        <f t="shared" si="38"/>
        <v/>
      </c>
      <c r="Y826" s="661" t="str">
        <f t="shared" si="36"/>
        <v/>
      </c>
      <c r="Z826" s="661" t="str">
        <f t="shared" si="37"/>
        <v/>
      </c>
    </row>
    <row r="827" spans="1:26" s="128" customFormat="1" hidden="1">
      <c r="A827" s="655">
        <v>50955</v>
      </c>
      <c r="B827" s="656" t="s">
        <v>54</v>
      </c>
      <c r="C827" s="655" t="s">
        <v>2793</v>
      </c>
      <c r="D827" s="656" t="s">
        <v>1163</v>
      </c>
      <c r="E827" s="656" t="s">
        <v>1163</v>
      </c>
      <c r="F827" s="655">
        <v>5623</v>
      </c>
      <c r="G827" s="656" t="s">
        <v>81</v>
      </c>
      <c r="H827" s="656" t="s">
        <v>1183</v>
      </c>
      <c r="I827" s="656" t="s">
        <v>58</v>
      </c>
      <c r="J827" s="655">
        <v>325</v>
      </c>
      <c r="K827" s="655">
        <v>7</v>
      </c>
      <c r="L827" s="656" t="s">
        <v>409</v>
      </c>
      <c r="M827" s="656" t="s">
        <v>42</v>
      </c>
      <c r="N827" s="656" t="s">
        <v>61</v>
      </c>
      <c r="O827" s="656" t="s">
        <v>61</v>
      </c>
      <c r="P827" s="656" t="s">
        <v>47</v>
      </c>
      <c r="Q827" s="657">
        <v>0</v>
      </c>
      <c r="R827" s="657">
        <v>0</v>
      </c>
      <c r="S827" s="657">
        <v>0</v>
      </c>
      <c r="T827" s="657">
        <v>0</v>
      </c>
      <c r="U827" s="657">
        <v>0</v>
      </c>
      <c r="V827" s="655">
        <v>2021</v>
      </c>
      <c r="W827" s="659"/>
      <c r="X827" s="660" t="str">
        <f t="shared" si="38"/>
        <v/>
      </c>
      <c r="Y827" s="661" t="str">
        <f t="shared" si="36"/>
        <v/>
      </c>
      <c r="Z827" s="661" t="str">
        <f t="shared" si="37"/>
        <v/>
      </c>
    </row>
    <row r="828" spans="1:26" s="128" customFormat="1" ht="25" hidden="1">
      <c r="A828" s="655">
        <v>50978</v>
      </c>
      <c r="B828" s="656" t="s">
        <v>33</v>
      </c>
      <c r="C828" s="655" t="s">
        <v>2793</v>
      </c>
      <c r="D828" s="656" t="s">
        <v>205</v>
      </c>
      <c r="E828" s="656" t="s">
        <v>929</v>
      </c>
      <c r="F828" s="655">
        <v>24202</v>
      </c>
      <c r="G828" s="656" t="s">
        <v>57</v>
      </c>
      <c r="H828" s="656" t="s">
        <v>1182</v>
      </c>
      <c r="I828" s="656" t="s">
        <v>58</v>
      </c>
      <c r="J828" s="655">
        <v>22</v>
      </c>
      <c r="K828" s="655">
        <v>2</v>
      </c>
      <c r="L828" s="656" t="s">
        <v>52</v>
      </c>
      <c r="M828" s="656" t="s">
        <v>38</v>
      </c>
      <c r="N828" s="656" t="s">
        <v>46</v>
      </c>
      <c r="O828" s="656" t="s">
        <v>46</v>
      </c>
      <c r="P828" s="656" t="s">
        <v>47</v>
      </c>
      <c r="Q828" s="657">
        <v>0</v>
      </c>
      <c r="R828" s="657">
        <v>0</v>
      </c>
      <c r="S828" s="657">
        <v>0</v>
      </c>
      <c r="T828" s="657">
        <v>0</v>
      </c>
      <c r="U828" s="657">
        <v>0</v>
      </c>
      <c r="V828" s="655">
        <v>2021</v>
      </c>
      <c r="W828" s="659" t="s">
        <v>3675</v>
      </c>
      <c r="X828" s="660" t="str">
        <f t="shared" si="38"/>
        <v/>
      </c>
      <c r="Y828" s="661" t="str">
        <f t="shared" si="36"/>
        <v/>
      </c>
      <c r="Z828" s="661" t="str">
        <f t="shared" si="37"/>
        <v/>
      </c>
    </row>
    <row r="829" spans="1:26" s="128" customFormat="1" ht="25" hidden="1">
      <c r="A829" s="655">
        <v>50978</v>
      </c>
      <c r="B829" s="656" t="s">
        <v>33</v>
      </c>
      <c r="C829" s="655" t="s">
        <v>2793</v>
      </c>
      <c r="D829" s="656" t="s">
        <v>205</v>
      </c>
      <c r="E829" s="656" t="s">
        <v>929</v>
      </c>
      <c r="F829" s="655">
        <v>24202</v>
      </c>
      <c r="G829" s="656" t="s">
        <v>57</v>
      </c>
      <c r="H829" s="656" t="s">
        <v>1182</v>
      </c>
      <c r="I829" s="656" t="s">
        <v>58</v>
      </c>
      <c r="J829" s="655">
        <v>22</v>
      </c>
      <c r="K829" s="655">
        <v>2</v>
      </c>
      <c r="L829" s="656" t="s">
        <v>52</v>
      </c>
      <c r="M829" s="656" t="s">
        <v>38</v>
      </c>
      <c r="N829" s="656" t="s">
        <v>39</v>
      </c>
      <c r="O829" s="656" t="s">
        <v>39</v>
      </c>
      <c r="P829" s="656" t="s">
        <v>1037</v>
      </c>
      <c r="Q829" s="657">
        <v>0</v>
      </c>
      <c r="R829" s="657">
        <v>0</v>
      </c>
      <c r="S829" s="657">
        <v>0</v>
      </c>
      <c r="T829" s="657">
        <v>0</v>
      </c>
      <c r="U829" s="657">
        <v>34347</v>
      </c>
      <c r="V829" s="655">
        <v>2021</v>
      </c>
      <c r="W829" s="659" t="s">
        <v>3675</v>
      </c>
      <c r="X829" s="660" t="str">
        <f t="shared" si="38"/>
        <v/>
      </c>
      <c r="Y829" s="661" t="str">
        <f t="shared" si="36"/>
        <v/>
      </c>
      <c r="Z829" s="661" t="str">
        <f t="shared" si="37"/>
        <v/>
      </c>
    </row>
    <row r="830" spans="1:26" s="128" customFormat="1" ht="25" hidden="1">
      <c r="A830" s="655">
        <v>50978</v>
      </c>
      <c r="B830" s="656" t="s">
        <v>33</v>
      </c>
      <c r="C830" s="655" t="s">
        <v>2793</v>
      </c>
      <c r="D830" s="656" t="s">
        <v>205</v>
      </c>
      <c r="E830" s="656" t="s">
        <v>929</v>
      </c>
      <c r="F830" s="655">
        <v>24202</v>
      </c>
      <c r="G830" s="656" t="s">
        <v>57</v>
      </c>
      <c r="H830" s="656" t="s">
        <v>1182</v>
      </c>
      <c r="I830" s="656" t="s">
        <v>58</v>
      </c>
      <c r="J830" s="655">
        <v>22</v>
      </c>
      <c r="K830" s="655">
        <v>2</v>
      </c>
      <c r="L830" s="656" t="s">
        <v>52</v>
      </c>
      <c r="M830" s="656" t="s">
        <v>41</v>
      </c>
      <c r="N830" s="656" t="s">
        <v>46</v>
      </c>
      <c r="O830" s="656" t="s">
        <v>46</v>
      </c>
      <c r="P830" s="656" t="s">
        <v>47</v>
      </c>
      <c r="Q830" s="657">
        <v>0</v>
      </c>
      <c r="R830" s="657">
        <v>0</v>
      </c>
      <c r="S830" s="657">
        <v>0</v>
      </c>
      <c r="T830" s="657">
        <v>0</v>
      </c>
      <c r="U830" s="657">
        <v>0</v>
      </c>
      <c r="V830" s="655">
        <v>2021</v>
      </c>
      <c r="W830" s="659" t="s">
        <v>3675</v>
      </c>
      <c r="X830" s="660" t="str">
        <f t="shared" si="38"/>
        <v/>
      </c>
      <c r="Y830" s="661" t="str">
        <f t="shared" si="36"/>
        <v/>
      </c>
      <c r="Z830" s="661" t="str">
        <f t="shared" si="37"/>
        <v/>
      </c>
    </row>
    <row r="831" spans="1:26" s="128" customFormat="1" ht="25" hidden="1">
      <c r="A831" s="655">
        <v>50978</v>
      </c>
      <c r="B831" s="656" t="s">
        <v>33</v>
      </c>
      <c r="C831" s="655" t="s">
        <v>2793</v>
      </c>
      <c r="D831" s="656" t="s">
        <v>205</v>
      </c>
      <c r="E831" s="656" t="s">
        <v>929</v>
      </c>
      <c r="F831" s="655">
        <v>24202</v>
      </c>
      <c r="G831" s="656" t="s">
        <v>57</v>
      </c>
      <c r="H831" s="656" t="s">
        <v>1182</v>
      </c>
      <c r="I831" s="656" t="s">
        <v>58</v>
      </c>
      <c r="J831" s="655">
        <v>22</v>
      </c>
      <c r="K831" s="655">
        <v>2</v>
      </c>
      <c r="L831" s="656" t="s">
        <v>52</v>
      </c>
      <c r="M831" s="656" t="s">
        <v>41</v>
      </c>
      <c r="N831" s="656" t="s">
        <v>39</v>
      </c>
      <c r="O831" s="656" t="s">
        <v>39</v>
      </c>
      <c r="P831" s="656" t="s">
        <v>1037</v>
      </c>
      <c r="Q831" s="657">
        <v>1167409</v>
      </c>
      <c r="R831" s="657">
        <v>1167409</v>
      </c>
      <c r="S831" s="657">
        <v>1190757</v>
      </c>
      <c r="T831" s="657">
        <v>1190757</v>
      </c>
      <c r="U831" s="657">
        <v>104736</v>
      </c>
      <c r="V831" s="655">
        <v>2021</v>
      </c>
      <c r="W831" s="659" t="s">
        <v>3675</v>
      </c>
      <c r="X831" s="660">
        <f t="shared" si="38"/>
        <v>11.369128093492209</v>
      </c>
      <c r="Y831" s="661" t="str">
        <f t="shared" si="36"/>
        <v/>
      </c>
      <c r="Z831" s="661" t="str">
        <f t="shared" si="37"/>
        <v/>
      </c>
    </row>
    <row r="832" spans="1:26" s="128" customFormat="1" ht="25" hidden="1">
      <c r="A832" s="655">
        <v>50999</v>
      </c>
      <c r="B832" s="656" t="s">
        <v>33</v>
      </c>
      <c r="C832" s="655" t="s">
        <v>2793</v>
      </c>
      <c r="D832" s="656" t="s">
        <v>930</v>
      </c>
      <c r="E832" s="656" t="s">
        <v>1185</v>
      </c>
      <c r="F832" s="655">
        <v>39006</v>
      </c>
      <c r="G832" s="656" t="s">
        <v>90</v>
      </c>
      <c r="H832" s="656" t="s">
        <v>1183</v>
      </c>
      <c r="I832" s="656" t="s">
        <v>58</v>
      </c>
      <c r="J832" s="655">
        <v>22</v>
      </c>
      <c r="K832" s="655">
        <v>2</v>
      </c>
      <c r="L832" s="656" t="s">
        <v>52</v>
      </c>
      <c r="M832" s="656" t="s">
        <v>35</v>
      </c>
      <c r="N832" s="656" t="s">
        <v>36</v>
      </c>
      <c r="O832" s="656" t="s">
        <v>37</v>
      </c>
      <c r="P832" s="656" t="s">
        <v>1176</v>
      </c>
      <c r="Q832" s="657">
        <v>0</v>
      </c>
      <c r="R832" s="657">
        <v>0</v>
      </c>
      <c r="S832" s="657">
        <v>146562</v>
      </c>
      <c r="T832" s="657">
        <v>146562</v>
      </c>
      <c r="U832" s="657">
        <v>16574</v>
      </c>
      <c r="V832" s="655">
        <v>2021</v>
      </c>
      <c r="W832" s="659"/>
      <c r="X832" s="660">
        <f t="shared" si="38"/>
        <v>8.8428864486545198</v>
      </c>
      <c r="Y832" s="661" t="str">
        <f t="shared" si="36"/>
        <v/>
      </c>
      <c r="Z832" s="661" t="str">
        <f t="shared" si="37"/>
        <v/>
      </c>
    </row>
    <row r="833" spans="1:26" s="128" customFormat="1" hidden="1">
      <c r="A833" s="655">
        <v>51026</v>
      </c>
      <c r="B833" s="656" t="s">
        <v>33</v>
      </c>
      <c r="C833" s="655" t="s">
        <v>2793</v>
      </c>
      <c r="D833" s="656" t="s">
        <v>3115</v>
      </c>
      <c r="E833" s="656" t="s">
        <v>3109</v>
      </c>
      <c r="F833" s="655">
        <v>64003</v>
      </c>
      <c r="G833" s="656" t="s">
        <v>89</v>
      </c>
      <c r="H833" s="656" t="s">
        <v>1183</v>
      </c>
      <c r="I833" s="656" t="s">
        <v>58</v>
      </c>
      <c r="J833" s="655">
        <v>22</v>
      </c>
      <c r="K833" s="655">
        <v>2</v>
      </c>
      <c r="L833" s="656" t="s">
        <v>52</v>
      </c>
      <c r="M833" s="656" t="s">
        <v>42</v>
      </c>
      <c r="N833" s="656" t="s">
        <v>69</v>
      </c>
      <c r="O833" s="656" t="s">
        <v>70</v>
      </c>
      <c r="P833" s="656" t="s">
        <v>45</v>
      </c>
      <c r="Q833" s="657">
        <v>257822</v>
      </c>
      <c r="R833" s="657">
        <v>257822</v>
      </c>
      <c r="S833" s="657">
        <v>2412967</v>
      </c>
      <c r="T833" s="657">
        <v>2412967</v>
      </c>
      <c r="U833" s="657">
        <v>161549</v>
      </c>
      <c r="V833" s="655">
        <v>2021</v>
      </c>
      <c r="W833" s="659"/>
      <c r="X833" s="660">
        <f t="shared" si="38"/>
        <v>14.936440336987539</v>
      </c>
      <c r="Y833" s="661" t="str">
        <f t="shared" si="36"/>
        <v/>
      </c>
      <c r="Z833" s="661" t="str">
        <f t="shared" si="37"/>
        <v/>
      </c>
    </row>
    <row r="834" spans="1:26" s="128" customFormat="1" hidden="1">
      <c r="A834" s="655">
        <v>51030</v>
      </c>
      <c r="B834" s="656" t="s">
        <v>33</v>
      </c>
      <c r="C834" s="655" t="s">
        <v>2793</v>
      </c>
      <c r="D834" s="656" t="s">
        <v>134</v>
      </c>
      <c r="E834" s="656" t="s">
        <v>135</v>
      </c>
      <c r="F834" s="655">
        <v>27769</v>
      </c>
      <c r="G834" s="656" t="s">
        <v>131</v>
      </c>
      <c r="H834" s="656" t="s">
        <v>1183</v>
      </c>
      <c r="I834" s="656" t="s">
        <v>58</v>
      </c>
      <c r="J834" s="655">
        <v>22</v>
      </c>
      <c r="K834" s="655">
        <v>2</v>
      </c>
      <c r="L834" s="656" t="s">
        <v>52</v>
      </c>
      <c r="M834" s="656" t="s">
        <v>38</v>
      </c>
      <c r="N834" s="656" t="s">
        <v>46</v>
      </c>
      <c r="O834" s="656" t="s">
        <v>46</v>
      </c>
      <c r="P834" s="656" t="s">
        <v>47</v>
      </c>
      <c r="Q834" s="657">
        <v>0</v>
      </c>
      <c r="R834" s="657">
        <v>0</v>
      </c>
      <c r="S834" s="657">
        <v>0</v>
      </c>
      <c r="T834" s="657">
        <v>0</v>
      </c>
      <c r="U834" s="657">
        <v>1142.154</v>
      </c>
      <c r="V834" s="655">
        <v>2021</v>
      </c>
      <c r="W834" s="659" t="s">
        <v>3675</v>
      </c>
      <c r="X834" s="660" t="str">
        <f t="shared" si="38"/>
        <v/>
      </c>
      <c r="Y834" s="661" t="str">
        <f t="shared" si="36"/>
        <v/>
      </c>
      <c r="Z834" s="661" t="str">
        <f t="shared" si="37"/>
        <v/>
      </c>
    </row>
    <row r="835" spans="1:26" s="128" customFormat="1" hidden="1">
      <c r="A835" s="655">
        <v>51030</v>
      </c>
      <c r="B835" s="656" t="s">
        <v>33</v>
      </c>
      <c r="C835" s="655" t="s">
        <v>2793</v>
      </c>
      <c r="D835" s="656" t="s">
        <v>134</v>
      </c>
      <c r="E835" s="656" t="s">
        <v>135</v>
      </c>
      <c r="F835" s="655">
        <v>27769</v>
      </c>
      <c r="G835" s="656" t="s">
        <v>131</v>
      </c>
      <c r="H835" s="656" t="s">
        <v>1183</v>
      </c>
      <c r="I835" s="656" t="s">
        <v>58</v>
      </c>
      <c r="J835" s="655">
        <v>22</v>
      </c>
      <c r="K835" s="655">
        <v>2</v>
      </c>
      <c r="L835" s="656" t="s">
        <v>52</v>
      </c>
      <c r="M835" s="656" t="s">
        <v>38</v>
      </c>
      <c r="N835" s="656" t="s">
        <v>39</v>
      </c>
      <c r="O835" s="656" t="s">
        <v>39</v>
      </c>
      <c r="P835" s="656" t="s">
        <v>1037</v>
      </c>
      <c r="Q835" s="657">
        <v>3983</v>
      </c>
      <c r="R835" s="657">
        <v>3983</v>
      </c>
      <c r="S835" s="657">
        <v>4089</v>
      </c>
      <c r="T835" s="657">
        <v>4089</v>
      </c>
      <c r="U835" s="657">
        <v>384717.85</v>
      </c>
      <c r="V835" s="655">
        <v>2021</v>
      </c>
      <c r="W835" s="659" t="s">
        <v>3675</v>
      </c>
      <c r="X835" s="660">
        <f t="shared" si="38"/>
        <v>1.062856844308108E-2</v>
      </c>
      <c r="Y835" s="661" t="str">
        <f t="shared" si="36"/>
        <v/>
      </c>
      <c r="Z835" s="661" t="str">
        <f t="shared" si="37"/>
        <v/>
      </c>
    </row>
    <row r="836" spans="1:26" s="128" customFormat="1" hidden="1">
      <c r="A836" s="655">
        <v>51030</v>
      </c>
      <c r="B836" s="656" t="s">
        <v>33</v>
      </c>
      <c r="C836" s="655" t="s">
        <v>2793</v>
      </c>
      <c r="D836" s="656" t="s">
        <v>134</v>
      </c>
      <c r="E836" s="656" t="s">
        <v>135</v>
      </c>
      <c r="F836" s="655">
        <v>27769</v>
      </c>
      <c r="G836" s="656" t="s">
        <v>131</v>
      </c>
      <c r="H836" s="656" t="s">
        <v>1183</v>
      </c>
      <c r="I836" s="656" t="s">
        <v>58</v>
      </c>
      <c r="J836" s="655">
        <v>22</v>
      </c>
      <c r="K836" s="655">
        <v>2</v>
      </c>
      <c r="L836" s="656" t="s">
        <v>52</v>
      </c>
      <c r="M836" s="656" t="s">
        <v>41</v>
      </c>
      <c r="N836" s="656" t="s">
        <v>46</v>
      </c>
      <c r="O836" s="656" t="s">
        <v>46</v>
      </c>
      <c r="P836" s="656" t="s">
        <v>47</v>
      </c>
      <c r="Q836" s="657">
        <v>6500</v>
      </c>
      <c r="R836" s="657">
        <v>6500</v>
      </c>
      <c r="S836" s="657">
        <v>37635</v>
      </c>
      <c r="T836" s="657">
        <v>37635</v>
      </c>
      <c r="U836" s="657">
        <v>2177.9499999999998</v>
      </c>
      <c r="V836" s="655">
        <v>2021</v>
      </c>
      <c r="W836" s="659" t="s">
        <v>3675</v>
      </c>
      <c r="X836" s="660">
        <f t="shared" si="38"/>
        <v>17.280011019536722</v>
      </c>
      <c r="Y836" s="661" t="str">
        <f t="shared" si="36"/>
        <v/>
      </c>
      <c r="Z836" s="661" t="str">
        <f t="shared" si="37"/>
        <v/>
      </c>
    </row>
    <row r="837" spans="1:26" s="128" customFormat="1" hidden="1">
      <c r="A837" s="655">
        <v>51030</v>
      </c>
      <c r="B837" s="656" t="s">
        <v>33</v>
      </c>
      <c r="C837" s="655" t="s">
        <v>2793</v>
      </c>
      <c r="D837" s="656" t="s">
        <v>134</v>
      </c>
      <c r="E837" s="656" t="s">
        <v>135</v>
      </c>
      <c r="F837" s="655">
        <v>27769</v>
      </c>
      <c r="G837" s="656" t="s">
        <v>131</v>
      </c>
      <c r="H837" s="656" t="s">
        <v>1183</v>
      </c>
      <c r="I837" s="656" t="s">
        <v>58</v>
      </c>
      <c r="J837" s="655">
        <v>22</v>
      </c>
      <c r="K837" s="655">
        <v>2</v>
      </c>
      <c r="L837" s="656" t="s">
        <v>52</v>
      </c>
      <c r="M837" s="656" t="s">
        <v>41</v>
      </c>
      <c r="N837" s="656" t="s">
        <v>39</v>
      </c>
      <c r="O837" s="656" t="s">
        <v>39</v>
      </c>
      <c r="P837" s="656" t="s">
        <v>1037</v>
      </c>
      <c r="Q837" s="657">
        <v>8455027</v>
      </c>
      <c r="R837" s="657">
        <v>8455027</v>
      </c>
      <c r="S837" s="657">
        <v>8683312</v>
      </c>
      <c r="T837" s="657">
        <v>8683312</v>
      </c>
      <c r="U837" s="657">
        <v>658417.05000000005</v>
      </c>
      <c r="V837" s="655">
        <v>2021</v>
      </c>
      <c r="W837" s="659" t="s">
        <v>3675</v>
      </c>
      <c r="X837" s="660">
        <f t="shared" si="38"/>
        <v>13.188163945632938</v>
      </c>
      <c r="Y837" s="661" t="str">
        <f t="shared" si="36"/>
        <v/>
      </c>
      <c r="Z837" s="661" t="str">
        <f t="shared" si="37"/>
        <v/>
      </c>
    </row>
    <row r="838" spans="1:26" s="128" customFormat="1" ht="25" hidden="1">
      <c r="A838" s="655">
        <v>51033</v>
      </c>
      <c r="B838" s="656" t="s">
        <v>33</v>
      </c>
      <c r="C838" s="655" t="s">
        <v>2793</v>
      </c>
      <c r="D838" s="656" t="s">
        <v>931</v>
      </c>
      <c r="E838" s="656" t="s">
        <v>119</v>
      </c>
      <c r="F838" s="655">
        <v>5914</v>
      </c>
      <c r="G838" s="656" t="s">
        <v>57</v>
      </c>
      <c r="H838" s="656" t="s">
        <v>1182</v>
      </c>
      <c r="I838" s="656" t="s">
        <v>58</v>
      </c>
      <c r="J838" s="655">
        <v>22</v>
      </c>
      <c r="K838" s="655">
        <v>2</v>
      </c>
      <c r="L838" s="656" t="s">
        <v>52</v>
      </c>
      <c r="M838" s="656" t="s">
        <v>35</v>
      </c>
      <c r="N838" s="656" t="s">
        <v>36</v>
      </c>
      <c r="O838" s="656" t="s">
        <v>37</v>
      </c>
      <c r="P838" s="656" t="s">
        <v>1176</v>
      </c>
      <c r="Q838" s="657">
        <v>0</v>
      </c>
      <c r="R838" s="657">
        <v>0</v>
      </c>
      <c r="S838" s="657">
        <v>232934</v>
      </c>
      <c r="T838" s="657">
        <v>232934</v>
      </c>
      <c r="U838" s="657">
        <v>26341</v>
      </c>
      <c r="V838" s="655">
        <v>2021</v>
      </c>
      <c r="W838" s="659"/>
      <c r="X838" s="660">
        <f t="shared" si="38"/>
        <v>8.8430203864697621</v>
      </c>
      <c r="Y838" s="661" t="str">
        <f t="shared" si="36"/>
        <v/>
      </c>
      <c r="Z838" s="661" t="str">
        <f t="shared" si="37"/>
        <v/>
      </c>
    </row>
    <row r="839" spans="1:26" s="128" customFormat="1" ht="25" hidden="1">
      <c r="A839" s="655">
        <v>51034</v>
      </c>
      <c r="B839" s="656" t="s">
        <v>33</v>
      </c>
      <c r="C839" s="655" t="s">
        <v>2793</v>
      </c>
      <c r="D839" s="656" t="s">
        <v>932</v>
      </c>
      <c r="E839" s="656" t="s">
        <v>3104</v>
      </c>
      <c r="F839" s="655">
        <v>57280</v>
      </c>
      <c r="G839" s="656" t="s">
        <v>57</v>
      </c>
      <c r="H839" s="656" t="s">
        <v>1182</v>
      </c>
      <c r="I839" s="656" t="s">
        <v>58</v>
      </c>
      <c r="J839" s="655">
        <v>22</v>
      </c>
      <c r="K839" s="655">
        <v>2</v>
      </c>
      <c r="L839" s="656" t="s">
        <v>52</v>
      </c>
      <c r="M839" s="656" t="s">
        <v>35</v>
      </c>
      <c r="N839" s="656" t="s">
        <v>36</v>
      </c>
      <c r="O839" s="656" t="s">
        <v>37</v>
      </c>
      <c r="P839" s="656" t="s">
        <v>1176</v>
      </c>
      <c r="Q839" s="657">
        <v>0</v>
      </c>
      <c r="R839" s="657">
        <v>0</v>
      </c>
      <c r="S839" s="657">
        <v>397607</v>
      </c>
      <c r="T839" s="657">
        <v>397607</v>
      </c>
      <c r="U839" s="657">
        <v>44963</v>
      </c>
      <c r="V839" s="655">
        <v>2021</v>
      </c>
      <c r="W839" s="659"/>
      <c r="X839" s="660">
        <f t="shared" si="38"/>
        <v>8.8429820074283292</v>
      </c>
      <c r="Y839" s="661" t="str">
        <f t="shared" ref="Y839:Y902" si="39">IF(AND($M839=$Y$2,$N839=$Y$3,NOT($Q839=$R839),NOT($U839=0)),IF($K839=5,$S839/($U839+(8/5)*$U839),IF($K839=7,$S839/($U839+(29/25)*$U839),"")),"")</f>
        <v/>
      </c>
      <c r="Z839" s="661" t="str">
        <f t="shared" ref="Z839:Z902" si="40">IF(AND($M839=$Y$2,$N839=$Y$4,NOT($Q839=$R839),NOT($U839=0)),IF($K839=5,$S839/($U839+(8/5)*$U839),IF($K839=7,$S839/($U839+(29/25)*$U839),"")),"")</f>
        <v/>
      </c>
    </row>
    <row r="840" spans="1:26" s="128" customFormat="1" ht="25" hidden="1">
      <c r="A840" s="655">
        <v>51038</v>
      </c>
      <c r="B840" s="656" t="s">
        <v>33</v>
      </c>
      <c r="C840" s="655" t="s">
        <v>2793</v>
      </c>
      <c r="D840" s="656" t="s">
        <v>933</v>
      </c>
      <c r="E840" s="656" t="s">
        <v>934</v>
      </c>
      <c r="F840" s="655">
        <v>56601</v>
      </c>
      <c r="G840" s="656" t="s">
        <v>57</v>
      </c>
      <c r="H840" s="656" t="s">
        <v>1182</v>
      </c>
      <c r="I840" s="656" t="s">
        <v>58</v>
      </c>
      <c r="J840" s="655">
        <v>562213</v>
      </c>
      <c r="K840" s="655">
        <v>4</v>
      </c>
      <c r="L840" s="656" t="s">
        <v>412</v>
      </c>
      <c r="M840" s="656" t="s">
        <v>42</v>
      </c>
      <c r="N840" s="656" t="s">
        <v>46</v>
      </c>
      <c r="O840" s="656" t="s">
        <v>46</v>
      </c>
      <c r="P840" s="656" t="s">
        <v>47</v>
      </c>
      <c r="Q840" s="657">
        <v>0</v>
      </c>
      <c r="R840" s="657">
        <v>0</v>
      </c>
      <c r="S840" s="657">
        <v>0</v>
      </c>
      <c r="T840" s="657">
        <v>0</v>
      </c>
      <c r="U840" s="657">
        <v>0</v>
      </c>
      <c r="V840" s="655">
        <v>2021</v>
      </c>
      <c r="W840" s="659"/>
      <c r="X840" s="660" t="str">
        <f t="shared" ref="X840:X903" si="41">IF(OR(K840&gt;3,T840=0,NOT(U840&gt;0)),"",T840/U840)</f>
        <v/>
      </c>
      <c r="Y840" s="661" t="str">
        <f t="shared" si="39"/>
        <v/>
      </c>
      <c r="Z840" s="661" t="str">
        <f t="shared" si="40"/>
        <v/>
      </c>
    </row>
    <row r="841" spans="1:26" s="128" customFormat="1" ht="25" hidden="1">
      <c r="A841" s="655">
        <v>51038</v>
      </c>
      <c r="B841" s="656" t="s">
        <v>33</v>
      </c>
      <c r="C841" s="655" t="s">
        <v>2793</v>
      </c>
      <c r="D841" s="656" t="s">
        <v>933</v>
      </c>
      <c r="E841" s="656" t="s">
        <v>934</v>
      </c>
      <c r="F841" s="655">
        <v>56601</v>
      </c>
      <c r="G841" s="656" t="s">
        <v>57</v>
      </c>
      <c r="H841" s="656" t="s">
        <v>1182</v>
      </c>
      <c r="I841" s="656" t="s">
        <v>58</v>
      </c>
      <c r="J841" s="655">
        <v>562213</v>
      </c>
      <c r="K841" s="655">
        <v>4</v>
      </c>
      <c r="L841" s="656" t="s">
        <v>412</v>
      </c>
      <c r="M841" s="656" t="s">
        <v>42</v>
      </c>
      <c r="N841" s="656" t="s">
        <v>16</v>
      </c>
      <c r="O841" s="656" t="s">
        <v>64</v>
      </c>
      <c r="P841" s="656" t="s">
        <v>45</v>
      </c>
      <c r="Q841" s="657">
        <v>98602</v>
      </c>
      <c r="R841" s="657">
        <v>98602</v>
      </c>
      <c r="S841" s="657">
        <v>720852</v>
      </c>
      <c r="T841" s="657">
        <v>720852</v>
      </c>
      <c r="U841" s="657">
        <v>18835.567999999999</v>
      </c>
      <c r="V841" s="655">
        <v>2021</v>
      </c>
      <c r="W841" s="659"/>
      <c r="X841" s="660" t="str">
        <f t="shared" si="41"/>
        <v/>
      </c>
      <c r="Y841" s="661" t="str">
        <f t="shared" si="39"/>
        <v/>
      </c>
      <c r="Z841" s="661" t="str">
        <f t="shared" si="40"/>
        <v/>
      </c>
    </row>
    <row r="842" spans="1:26" s="128" customFormat="1" ht="25" hidden="1">
      <c r="A842" s="655">
        <v>51038</v>
      </c>
      <c r="B842" s="656" t="s">
        <v>33</v>
      </c>
      <c r="C842" s="655" t="s">
        <v>2793</v>
      </c>
      <c r="D842" s="656" t="s">
        <v>933</v>
      </c>
      <c r="E842" s="656" t="s">
        <v>934</v>
      </c>
      <c r="F842" s="655">
        <v>56601</v>
      </c>
      <c r="G842" s="656" t="s">
        <v>57</v>
      </c>
      <c r="H842" s="656" t="s">
        <v>1182</v>
      </c>
      <c r="I842" s="656" t="s">
        <v>58</v>
      </c>
      <c r="J842" s="655">
        <v>562213</v>
      </c>
      <c r="K842" s="655">
        <v>4</v>
      </c>
      <c r="L842" s="656" t="s">
        <v>412</v>
      </c>
      <c r="M842" s="656" t="s">
        <v>42</v>
      </c>
      <c r="N842" s="656" t="s">
        <v>17</v>
      </c>
      <c r="O842" s="656" t="s">
        <v>82</v>
      </c>
      <c r="P842" s="656" t="s">
        <v>45</v>
      </c>
      <c r="Q842" s="657">
        <v>63038</v>
      </c>
      <c r="R842" s="657">
        <v>63038</v>
      </c>
      <c r="S842" s="657">
        <v>881035</v>
      </c>
      <c r="T842" s="657">
        <v>881035</v>
      </c>
      <c r="U842" s="657">
        <v>23021.370999999999</v>
      </c>
      <c r="V842" s="655">
        <v>2021</v>
      </c>
      <c r="W842" s="659"/>
      <c r="X842" s="660" t="str">
        <f t="shared" si="41"/>
        <v/>
      </c>
      <c r="Y842" s="661" t="str">
        <f t="shared" si="39"/>
        <v/>
      </c>
      <c r="Z842" s="661" t="str">
        <f t="shared" si="40"/>
        <v/>
      </c>
    </row>
    <row r="843" spans="1:26" s="128" customFormat="1" ht="25" hidden="1">
      <c r="A843" s="655">
        <v>51038</v>
      </c>
      <c r="B843" s="656" t="s">
        <v>33</v>
      </c>
      <c r="C843" s="655" t="s">
        <v>2793</v>
      </c>
      <c r="D843" s="656" t="s">
        <v>933</v>
      </c>
      <c r="E843" s="656" t="s">
        <v>934</v>
      </c>
      <c r="F843" s="655">
        <v>56601</v>
      </c>
      <c r="G843" s="656" t="s">
        <v>57</v>
      </c>
      <c r="H843" s="656" t="s">
        <v>1182</v>
      </c>
      <c r="I843" s="656" t="s">
        <v>58</v>
      </c>
      <c r="J843" s="655">
        <v>562213</v>
      </c>
      <c r="K843" s="655">
        <v>4</v>
      </c>
      <c r="L843" s="656" t="s">
        <v>412</v>
      </c>
      <c r="M843" s="656" t="s">
        <v>42</v>
      </c>
      <c r="N843" s="656" t="s">
        <v>39</v>
      </c>
      <c r="O843" s="656" t="s">
        <v>39</v>
      </c>
      <c r="P843" s="656" t="s">
        <v>1037</v>
      </c>
      <c r="Q843" s="657">
        <v>26798</v>
      </c>
      <c r="R843" s="657">
        <v>26798</v>
      </c>
      <c r="S843" s="657">
        <v>26798</v>
      </c>
      <c r="T843" s="657">
        <v>26798</v>
      </c>
      <c r="U843" s="657">
        <v>751.06100000000004</v>
      </c>
      <c r="V843" s="655">
        <v>2021</v>
      </c>
      <c r="W843" s="659"/>
      <c r="X843" s="660" t="str">
        <f t="shared" si="41"/>
        <v/>
      </c>
      <c r="Y843" s="661" t="str">
        <f t="shared" si="39"/>
        <v/>
      </c>
      <c r="Z843" s="661" t="str">
        <f t="shared" si="40"/>
        <v/>
      </c>
    </row>
    <row r="844" spans="1:26" s="128" customFormat="1" ht="25" hidden="1">
      <c r="A844" s="655">
        <v>52024</v>
      </c>
      <c r="B844" s="656" t="s">
        <v>54</v>
      </c>
      <c r="C844" s="655" t="s">
        <v>2793</v>
      </c>
      <c r="D844" s="656" t="s">
        <v>935</v>
      </c>
      <c r="E844" s="656" t="s">
        <v>935</v>
      </c>
      <c r="F844" s="655">
        <v>16001</v>
      </c>
      <c r="G844" s="656" t="s">
        <v>131</v>
      </c>
      <c r="H844" s="656" t="s">
        <v>1183</v>
      </c>
      <c r="I844" s="656" t="s">
        <v>58</v>
      </c>
      <c r="J844" s="655">
        <v>622</v>
      </c>
      <c r="K844" s="655">
        <v>5</v>
      </c>
      <c r="L844" s="656" t="s">
        <v>413</v>
      </c>
      <c r="M844" s="656" t="s">
        <v>42</v>
      </c>
      <c r="N844" s="656" t="s">
        <v>39</v>
      </c>
      <c r="O844" s="656" t="s">
        <v>39</v>
      </c>
      <c r="P844" s="656" t="s">
        <v>1037</v>
      </c>
      <c r="Q844" s="657">
        <v>660510</v>
      </c>
      <c r="R844" s="657">
        <v>76244</v>
      </c>
      <c r="S844" s="657">
        <v>726563</v>
      </c>
      <c r="T844" s="657">
        <v>83868</v>
      </c>
      <c r="U844" s="657">
        <v>15784.797</v>
      </c>
      <c r="V844" s="655">
        <v>2021</v>
      </c>
      <c r="W844" s="659"/>
      <c r="X844" s="660" t="str">
        <f t="shared" si="41"/>
        <v/>
      </c>
      <c r="Y844" s="661" t="str">
        <f t="shared" si="39"/>
        <v/>
      </c>
      <c r="Z844" s="661" t="str">
        <f t="shared" si="40"/>
        <v/>
      </c>
    </row>
    <row r="845" spans="1:26" s="128" customFormat="1" ht="25" hidden="1">
      <c r="A845" s="655">
        <v>52024</v>
      </c>
      <c r="B845" s="656" t="s">
        <v>54</v>
      </c>
      <c r="C845" s="655" t="s">
        <v>2793</v>
      </c>
      <c r="D845" s="656" t="s">
        <v>935</v>
      </c>
      <c r="E845" s="656" t="s">
        <v>935</v>
      </c>
      <c r="F845" s="655">
        <v>16001</v>
      </c>
      <c r="G845" s="656" t="s">
        <v>131</v>
      </c>
      <c r="H845" s="656" t="s">
        <v>1183</v>
      </c>
      <c r="I845" s="656" t="s">
        <v>58</v>
      </c>
      <c r="J845" s="655">
        <v>622</v>
      </c>
      <c r="K845" s="655">
        <v>5</v>
      </c>
      <c r="L845" s="656" t="s">
        <v>413</v>
      </c>
      <c r="M845" s="656" t="s">
        <v>42</v>
      </c>
      <c r="N845" s="656" t="s">
        <v>61</v>
      </c>
      <c r="O845" s="656" t="s">
        <v>61</v>
      </c>
      <c r="P845" s="656" t="s">
        <v>47</v>
      </c>
      <c r="Q845" s="657">
        <v>13559</v>
      </c>
      <c r="R845" s="657">
        <v>1371</v>
      </c>
      <c r="S845" s="657">
        <v>86778</v>
      </c>
      <c r="T845" s="657">
        <v>8777</v>
      </c>
      <c r="U845" s="657">
        <v>1656.963</v>
      </c>
      <c r="V845" s="655">
        <v>2021</v>
      </c>
      <c r="W845" s="659"/>
      <c r="X845" s="660" t="str">
        <f t="shared" si="41"/>
        <v/>
      </c>
      <c r="Y845" s="661" t="str">
        <f t="shared" si="39"/>
        <v/>
      </c>
      <c r="Z845" s="661" t="str">
        <f t="shared" si="40"/>
        <v/>
      </c>
    </row>
    <row r="846" spans="1:26" s="128" customFormat="1" ht="25">
      <c r="A846" s="655">
        <v>52026</v>
      </c>
      <c r="B846" s="656" t="s">
        <v>33</v>
      </c>
      <c r="C846" s="655" t="s">
        <v>2793</v>
      </c>
      <c r="D846" s="656" t="s">
        <v>1059</v>
      </c>
      <c r="E846" s="656" t="s">
        <v>973</v>
      </c>
      <c r="F846" s="655">
        <v>56516</v>
      </c>
      <c r="G846" s="656" t="s">
        <v>81</v>
      </c>
      <c r="H846" s="656" t="s">
        <v>1183</v>
      </c>
      <c r="I846" s="656" t="s">
        <v>58</v>
      </c>
      <c r="J846" s="655">
        <v>22</v>
      </c>
      <c r="K846" s="655">
        <v>2</v>
      </c>
      <c r="L846" s="656" t="s">
        <v>52</v>
      </c>
      <c r="M846" s="656" t="s">
        <v>38</v>
      </c>
      <c r="N846" s="656" t="s">
        <v>46</v>
      </c>
      <c r="O846" s="656" t="s">
        <v>46</v>
      </c>
      <c r="P846" s="656" t="s">
        <v>47</v>
      </c>
      <c r="Q846" s="657">
        <v>0</v>
      </c>
      <c r="R846" s="657">
        <v>0</v>
      </c>
      <c r="S846" s="657">
        <v>0</v>
      </c>
      <c r="T846" s="657">
        <v>0</v>
      </c>
      <c r="U846" s="657">
        <v>0</v>
      </c>
      <c r="V846" s="655">
        <v>2021</v>
      </c>
      <c r="W846" s="659"/>
      <c r="X846" s="660" t="str">
        <f t="shared" si="41"/>
        <v/>
      </c>
      <c r="Y846" s="661" t="str">
        <f t="shared" si="39"/>
        <v/>
      </c>
      <c r="Z846" s="661" t="str">
        <f t="shared" si="40"/>
        <v/>
      </c>
    </row>
    <row r="847" spans="1:26" s="128" customFormat="1" ht="25">
      <c r="A847" s="655">
        <v>52026</v>
      </c>
      <c r="B847" s="656" t="s">
        <v>33</v>
      </c>
      <c r="C847" s="655" t="s">
        <v>2793</v>
      </c>
      <c r="D847" s="656" t="s">
        <v>1059</v>
      </c>
      <c r="E847" s="656" t="s">
        <v>973</v>
      </c>
      <c r="F847" s="655">
        <v>56516</v>
      </c>
      <c r="G847" s="656" t="s">
        <v>81</v>
      </c>
      <c r="H847" s="656" t="s">
        <v>1183</v>
      </c>
      <c r="I847" s="656" t="s">
        <v>58</v>
      </c>
      <c r="J847" s="655">
        <v>22</v>
      </c>
      <c r="K847" s="655">
        <v>2</v>
      </c>
      <c r="L847" s="656" t="s">
        <v>52</v>
      </c>
      <c r="M847" s="656" t="s">
        <v>38</v>
      </c>
      <c r="N847" s="656" t="s">
        <v>39</v>
      </c>
      <c r="O847" s="656" t="s">
        <v>39</v>
      </c>
      <c r="P847" s="656" t="s">
        <v>1037</v>
      </c>
      <c r="Q847" s="657">
        <v>2226</v>
      </c>
      <c r="R847" s="657">
        <v>2226</v>
      </c>
      <c r="S847" s="657">
        <v>2286</v>
      </c>
      <c r="T847" s="657">
        <v>2286</v>
      </c>
      <c r="U847" s="657">
        <v>0</v>
      </c>
      <c r="V847" s="655">
        <v>2021</v>
      </c>
      <c r="W847" s="659"/>
      <c r="X847" s="660" t="str">
        <f t="shared" si="41"/>
        <v/>
      </c>
      <c r="Y847" s="661" t="str">
        <f t="shared" si="39"/>
        <v/>
      </c>
      <c r="Z847" s="661" t="str">
        <f t="shared" si="40"/>
        <v/>
      </c>
    </row>
    <row r="848" spans="1:26" s="128" customFormat="1" ht="25">
      <c r="A848" s="655">
        <v>52026</v>
      </c>
      <c r="B848" s="656" t="s">
        <v>33</v>
      </c>
      <c r="C848" s="655" t="s">
        <v>2793</v>
      </c>
      <c r="D848" s="656" t="s">
        <v>1059</v>
      </c>
      <c r="E848" s="656" t="s">
        <v>973</v>
      </c>
      <c r="F848" s="655">
        <v>56516</v>
      </c>
      <c r="G848" s="656" t="s">
        <v>81</v>
      </c>
      <c r="H848" s="656" t="s">
        <v>1183</v>
      </c>
      <c r="I848" s="656" t="s">
        <v>58</v>
      </c>
      <c r="J848" s="655">
        <v>22</v>
      </c>
      <c r="K848" s="655">
        <v>2</v>
      </c>
      <c r="L848" s="656" t="s">
        <v>52</v>
      </c>
      <c r="M848" s="656" t="s">
        <v>41</v>
      </c>
      <c r="N848" s="656" t="s">
        <v>46</v>
      </c>
      <c r="O848" s="656" t="s">
        <v>46</v>
      </c>
      <c r="P848" s="656" t="s">
        <v>47</v>
      </c>
      <c r="Q848" s="657">
        <v>117</v>
      </c>
      <c r="R848" s="657">
        <v>117</v>
      </c>
      <c r="S848" s="657">
        <v>678</v>
      </c>
      <c r="T848" s="657">
        <v>678</v>
      </c>
      <c r="U848" s="657">
        <v>74.957999999999998</v>
      </c>
      <c r="V848" s="655">
        <v>2021</v>
      </c>
      <c r="W848" s="659"/>
      <c r="X848" s="660">
        <f t="shared" si="41"/>
        <v>9.0450652365324586</v>
      </c>
      <c r="Y848" s="661" t="str">
        <f t="shared" si="39"/>
        <v/>
      </c>
      <c r="Z848" s="661" t="str">
        <f t="shared" si="40"/>
        <v/>
      </c>
    </row>
    <row r="849" spans="1:26" s="128" customFormat="1" ht="25">
      <c r="A849" s="655">
        <v>52026</v>
      </c>
      <c r="B849" s="656" t="s">
        <v>33</v>
      </c>
      <c r="C849" s="655" t="s">
        <v>2793</v>
      </c>
      <c r="D849" s="656" t="s">
        <v>1059</v>
      </c>
      <c r="E849" s="656" t="s">
        <v>973</v>
      </c>
      <c r="F849" s="655">
        <v>56516</v>
      </c>
      <c r="G849" s="656" t="s">
        <v>81</v>
      </c>
      <c r="H849" s="656" t="s">
        <v>1183</v>
      </c>
      <c r="I849" s="656" t="s">
        <v>58</v>
      </c>
      <c r="J849" s="655">
        <v>22</v>
      </c>
      <c r="K849" s="655">
        <v>2</v>
      </c>
      <c r="L849" s="656" t="s">
        <v>52</v>
      </c>
      <c r="M849" s="656" t="s">
        <v>41</v>
      </c>
      <c r="N849" s="656" t="s">
        <v>39</v>
      </c>
      <c r="O849" s="656" t="s">
        <v>39</v>
      </c>
      <c r="P849" s="656" t="s">
        <v>1037</v>
      </c>
      <c r="Q849" s="657">
        <v>275494</v>
      </c>
      <c r="R849" s="657">
        <v>275494</v>
      </c>
      <c r="S849" s="657">
        <v>282951</v>
      </c>
      <c r="T849" s="657">
        <v>282951</v>
      </c>
      <c r="U849" s="657">
        <v>31304.042000000001</v>
      </c>
      <c r="V849" s="655">
        <v>2021</v>
      </c>
      <c r="W849" s="659"/>
      <c r="X849" s="660">
        <f t="shared" si="41"/>
        <v>9.0388008040622996</v>
      </c>
      <c r="Y849" s="661" t="str">
        <f t="shared" si="39"/>
        <v/>
      </c>
      <c r="Z849" s="661" t="str">
        <f t="shared" si="40"/>
        <v/>
      </c>
    </row>
    <row r="850" spans="1:26" s="128" customFormat="1" ht="25">
      <c r="A850" s="655">
        <v>52026</v>
      </c>
      <c r="B850" s="656" t="s">
        <v>33</v>
      </c>
      <c r="C850" s="655" t="s">
        <v>2793</v>
      </c>
      <c r="D850" s="656" t="s">
        <v>1059</v>
      </c>
      <c r="E850" s="656" t="s">
        <v>973</v>
      </c>
      <c r="F850" s="655">
        <v>56516</v>
      </c>
      <c r="G850" s="656" t="s">
        <v>81</v>
      </c>
      <c r="H850" s="656" t="s">
        <v>1183</v>
      </c>
      <c r="I850" s="656" t="s">
        <v>58</v>
      </c>
      <c r="J850" s="655">
        <v>22</v>
      </c>
      <c r="K850" s="655">
        <v>2</v>
      </c>
      <c r="L850" s="656" t="s">
        <v>52</v>
      </c>
      <c r="M850" s="656" t="s">
        <v>50</v>
      </c>
      <c r="N850" s="656" t="s">
        <v>46</v>
      </c>
      <c r="O850" s="656" t="s">
        <v>46</v>
      </c>
      <c r="P850" s="656" t="s">
        <v>47</v>
      </c>
      <c r="Q850" s="657">
        <v>135</v>
      </c>
      <c r="R850" s="657">
        <v>135</v>
      </c>
      <c r="S850" s="657">
        <v>783</v>
      </c>
      <c r="T850" s="657">
        <v>783</v>
      </c>
      <c r="U850" s="657">
        <v>65.977000000000004</v>
      </c>
      <c r="V850" s="655">
        <v>2021</v>
      </c>
      <c r="W850" s="659"/>
      <c r="X850" s="660">
        <f t="shared" si="41"/>
        <v>11.86777210239932</v>
      </c>
      <c r="Y850" s="661" t="str">
        <f t="shared" si="39"/>
        <v/>
      </c>
      <c r="Z850" s="661" t="str">
        <f t="shared" si="40"/>
        <v/>
      </c>
    </row>
    <row r="851" spans="1:26" s="128" customFormat="1" ht="25">
      <c r="A851" s="655">
        <v>52026</v>
      </c>
      <c r="B851" s="656" t="s">
        <v>33</v>
      </c>
      <c r="C851" s="655" t="s">
        <v>2793</v>
      </c>
      <c r="D851" s="656" t="s">
        <v>1059</v>
      </c>
      <c r="E851" s="656" t="s">
        <v>973</v>
      </c>
      <c r="F851" s="655">
        <v>56516</v>
      </c>
      <c r="G851" s="656" t="s">
        <v>81</v>
      </c>
      <c r="H851" s="656" t="s">
        <v>1183</v>
      </c>
      <c r="I851" s="656" t="s">
        <v>58</v>
      </c>
      <c r="J851" s="655">
        <v>22</v>
      </c>
      <c r="K851" s="655">
        <v>2</v>
      </c>
      <c r="L851" s="656" t="s">
        <v>52</v>
      </c>
      <c r="M851" s="656" t="s">
        <v>50</v>
      </c>
      <c r="N851" s="656" t="s">
        <v>39</v>
      </c>
      <c r="O851" s="656" t="s">
        <v>39</v>
      </c>
      <c r="P851" s="656" t="s">
        <v>1037</v>
      </c>
      <c r="Q851" s="657">
        <v>79000</v>
      </c>
      <c r="R851" s="657">
        <v>79000</v>
      </c>
      <c r="S851" s="657">
        <v>81211</v>
      </c>
      <c r="T851" s="657">
        <v>81211</v>
      </c>
      <c r="U851" s="657">
        <v>6843.0230000000001</v>
      </c>
      <c r="V851" s="655">
        <v>2021</v>
      </c>
      <c r="W851" s="659"/>
      <c r="X851" s="660">
        <f t="shared" si="41"/>
        <v>11.867708175173458</v>
      </c>
      <c r="Y851" s="661" t="str">
        <f t="shared" si="39"/>
        <v/>
      </c>
      <c r="Z851" s="661" t="str">
        <f t="shared" si="40"/>
        <v/>
      </c>
    </row>
    <row r="852" spans="1:26" s="128" customFormat="1" hidden="1">
      <c r="A852" s="655">
        <v>52056</v>
      </c>
      <c r="B852" s="656" t="s">
        <v>54</v>
      </c>
      <c r="C852" s="655" t="s">
        <v>2793</v>
      </c>
      <c r="D852" s="656" t="s">
        <v>936</v>
      </c>
      <c r="E852" s="656" t="s">
        <v>936</v>
      </c>
      <c r="F852" s="655">
        <v>19153</v>
      </c>
      <c r="G852" s="656" t="s">
        <v>57</v>
      </c>
      <c r="H852" s="656" t="s">
        <v>1182</v>
      </c>
      <c r="I852" s="656" t="s">
        <v>58</v>
      </c>
      <c r="J852" s="655">
        <v>22</v>
      </c>
      <c r="K852" s="655">
        <v>3</v>
      </c>
      <c r="L852" s="656" t="s">
        <v>55</v>
      </c>
      <c r="M852" s="656" t="s">
        <v>38</v>
      </c>
      <c r="N852" s="656" t="s">
        <v>46</v>
      </c>
      <c r="O852" s="656" t="s">
        <v>46</v>
      </c>
      <c r="P852" s="656" t="s">
        <v>47</v>
      </c>
      <c r="Q852" s="657">
        <v>0</v>
      </c>
      <c r="R852" s="657">
        <v>0</v>
      </c>
      <c r="S852" s="657">
        <v>0</v>
      </c>
      <c r="T852" s="657">
        <v>0</v>
      </c>
      <c r="U852" s="657">
        <v>112.373</v>
      </c>
      <c r="V852" s="655">
        <v>2021</v>
      </c>
      <c r="W852" s="659"/>
      <c r="X852" s="660" t="str">
        <f t="shared" si="41"/>
        <v/>
      </c>
      <c r="Y852" s="661" t="str">
        <f t="shared" si="39"/>
        <v/>
      </c>
      <c r="Z852" s="661" t="str">
        <f t="shared" si="40"/>
        <v/>
      </c>
    </row>
    <row r="853" spans="1:26" s="128" customFormat="1" hidden="1">
      <c r="A853" s="655">
        <v>52056</v>
      </c>
      <c r="B853" s="656" t="s">
        <v>54</v>
      </c>
      <c r="C853" s="655" t="s">
        <v>2793</v>
      </c>
      <c r="D853" s="656" t="s">
        <v>936</v>
      </c>
      <c r="E853" s="656" t="s">
        <v>936</v>
      </c>
      <c r="F853" s="655">
        <v>19153</v>
      </c>
      <c r="G853" s="656" t="s">
        <v>57</v>
      </c>
      <c r="H853" s="656" t="s">
        <v>1182</v>
      </c>
      <c r="I853" s="656" t="s">
        <v>58</v>
      </c>
      <c r="J853" s="655">
        <v>22</v>
      </c>
      <c r="K853" s="655">
        <v>3</v>
      </c>
      <c r="L853" s="656" t="s">
        <v>55</v>
      </c>
      <c r="M853" s="656" t="s">
        <v>38</v>
      </c>
      <c r="N853" s="656" t="s">
        <v>39</v>
      </c>
      <c r="O853" s="656" t="s">
        <v>39</v>
      </c>
      <c r="P853" s="656" t="s">
        <v>1037</v>
      </c>
      <c r="Q853" s="657">
        <v>22791</v>
      </c>
      <c r="R853" s="657">
        <v>22791</v>
      </c>
      <c r="S853" s="657">
        <v>23483</v>
      </c>
      <c r="T853" s="657">
        <v>23483</v>
      </c>
      <c r="U853" s="657">
        <v>62654.387000000002</v>
      </c>
      <c r="V853" s="655">
        <v>2021</v>
      </c>
      <c r="W853" s="659"/>
      <c r="X853" s="660">
        <f t="shared" si="41"/>
        <v>0.37480216668626892</v>
      </c>
      <c r="Y853" s="661" t="str">
        <f t="shared" si="39"/>
        <v/>
      </c>
      <c r="Z853" s="661" t="str">
        <f t="shared" si="40"/>
        <v/>
      </c>
    </row>
    <row r="854" spans="1:26" s="128" customFormat="1" hidden="1">
      <c r="A854" s="655">
        <v>52056</v>
      </c>
      <c r="B854" s="656" t="s">
        <v>54</v>
      </c>
      <c r="C854" s="655" t="s">
        <v>2793</v>
      </c>
      <c r="D854" s="656" t="s">
        <v>936</v>
      </c>
      <c r="E854" s="656" t="s">
        <v>936</v>
      </c>
      <c r="F854" s="655">
        <v>19153</v>
      </c>
      <c r="G854" s="656" t="s">
        <v>57</v>
      </c>
      <c r="H854" s="656" t="s">
        <v>1182</v>
      </c>
      <c r="I854" s="656" t="s">
        <v>58</v>
      </c>
      <c r="J854" s="655">
        <v>22</v>
      </c>
      <c r="K854" s="655">
        <v>3</v>
      </c>
      <c r="L854" s="656" t="s">
        <v>55</v>
      </c>
      <c r="M854" s="656" t="s">
        <v>41</v>
      </c>
      <c r="N854" s="656" t="s">
        <v>46</v>
      </c>
      <c r="O854" s="656" t="s">
        <v>46</v>
      </c>
      <c r="P854" s="656" t="s">
        <v>47</v>
      </c>
      <c r="Q854" s="657">
        <v>958</v>
      </c>
      <c r="R854" s="657">
        <v>435</v>
      </c>
      <c r="S854" s="657">
        <v>5509</v>
      </c>
      <c r="T854" s="657">
        <v>2501</v>
      </c>
      <c r="U854" s="657">
        <v>399.375</v>
      </c>
      <c r="V854" s="655">
        <v>2021</v>
      </c>
      <c r="W854" s="659"/>
      <c r="X854" s="660">
        <f t="shared" si="41"/>
        <v>6.262284820031299</v>
      </c>
      <c r="Y854" s="661" t="str">
        <f t="shared" si="39"/>
        <v/>
      </c>
      <c r="Z854" s="661" t="str">
        <f t="shared" si="40"/>
        <v/>
      </c>
    </row>
    <row r="855" spans="1:26" s="128" customFormat="1" hidden="1">
      <c r="A855" s="655">
        <v>52056</v>
      </c>
      <c r="B855" s="656" t="s">
        <v>54</v>
      </c>
      <c r="C855" s="655" t="s">
        <v>2793</v>
      </c>
      <c r="D855" s="656" t="s">
        <v>936</v>
      </c>
      <c r="E855" s="656" t="s">
        <v>936</v>
      </c>
      <c r="F855" s="655">
        <v>19153</v>
      </c>
      <c r="G855" s="656" t="s">
        <v>57</v>
      </c>
      <c r="H855" s="656" t="s">
        <v>1182</v>
      </c>
      <c r="I855" s="656" t="s">
        <v>58</v>
      </c>
      <c r="J855" s="655">
        <v>22</v>
      </c>
      <c r="K855" s="655">
        <v>3</v>
      </c>
      <c r="L855" s="656" t="s">
        <v>55</v>
      </c>
      <c r="M855" s="656" t="s">
        <v>41</v>
      </c>
      <c r="N855" s="656" t="s">
        <v>39</v>
      </c>
      <c r="O855" s="656" t="s">
        <v>39</v>
      </c>
      <c r="P855" s="656" t="s">
        <v>1037</v>
      </c>
      <c r="Q855" s="657">
        <v>3242125</v>
      </c>
      <c r="R855" s="657">
        <v>1386408</v>
      </c>
      <c r="S855" s="657">
        <v>3337000</v>
      </c>
      <c r="T855" s="657">
        <v>1426955</v>
      </c>
      <c r="U855" s="657">
        <v>234234.9</v>
      </c>
      <c r="V855" s="655">
        <v>2021</v>
      </c>
      <c r="W855" s="659"/>
      <c r="X855" s="660">
        <f t="shared" si="41"/>
        <v>6.0919828770178999</v>
      </c>
      <c r="Y855" s="661" t="str">
        <f t="shared" si="39"/>
        <v/>
      </c>
      <c r="Z855" s="661" t="str">
        <f t="shared" si="40"/>
        <v/>
      </c>
    </row>
    <row r="856" spans="1:26" s="128" customFormat="1" hidden="1">
      <c r="A856" s="655">
        <v>52057</v>
      </c>
      <c r="B856" s="656" t="s">
        <v>33</v>
      </c>
      <c r="C856" s="655" t="s">
        <v>2793</v>
      </c>
      <c r="D856" s="656" t="s">
        <v>3367</v>
      </c>
      <c r="E856" s="656" t="s">
        <v>3368</v>
      </c>
      <c r="F856" s="655">
        <v>60082</v>
      </c>
      <c r="G856" s="656" t="s">
        <v>57</v>
      </c>
      <c r="H856" s="656" t="s">
        <v>1182</v>
      </c>
      <c r="I856" s="656" t="s">
        <v>58</v>
      </c>
      <c r="J856" s="655">
        <v>22</v>
      </c>
      <c r="K856" s="655">
        <v>2</v>
      </c>
      <c r="L856" s="656" t="s">
        <v>52</v>
      </c>
      <c r="M856" s="656" t="s">
        <v>35</v>
      </c>
      <c r="N856" s="656" t="s">
        <v>36</v>
      </c>
      <c r="O856" s="656" t="s">
        <v>37</v>
      </c>
      <c r="P856" s="656" t="s">
        <v>1176</v>
      </c>
      <c r="Q856" s="657">
        <v>0</v>
      </c>
      <c r="R856" s="657">
        <v>0</v>
      </c>
      <c r="S856" s="657">
        <v>0</v>
      </c>
      <c r="T856" s="657">
        <v>0</v>
      </c>
      <c r="U856" s="657">
        <v>0</v>
      </c>
      <c r="V856" s="655">
        <v>2021</v>
      </c>
      <c r="W856" s="659"/>
      <c r="X856" s="660" t="str">
        <f t="shared" si="41"/>
        <v/>
      </c>
      <c r="Y856" s="661" t="str">
        <f t="shared" si="39"/>
        <v/>
      </c>
      <c r="Z856" s="661" t="str">
        <f t="shared" si="40"/>
        <v/>
      </c>
    </row>
    <row r="857" spans="1:26" s="128" customFormat="1" ht="25" hidden="1">
      <c r="A857" s="655">
        <v>52058</v>
      </c>
      <c r="B857" s="656" t="s">
        <v>33</v>
      </c>
      <c r="C857" s="655" t="s">
        <v>2793</v>
      </c>
      <c r="D857" s="656" t="s">
        <v>937</v>
      </c>
      <c r="E857" s="656" t="s">
        <v>1688</v>
      </c>
      <c r="F857" s="655">
        <v>57184</v>
      </c>
      <c r="G857" s="656" t="s">
        <v>57</v>
      </c>
      <c r="H857" s="656" t="s">
        <v>1182</v>
      </c>
      <c r="I857" s="656" t="s">
        <v>58</v>
      </c>
      <c r="J857" s="655">
        <v>22</v>
      </c>
      <c r="K857" s="655">
        <v>2</v>
      </c>
      <c r="L857" s="656" t="s">
        <v>52</v>
      </c>
      <c r="M857" s="656" t="s">
        <v>35</v>
      </c>
      <c r="N857" s="656" t="s">
        <v>36</v>
      </c>
      <c r="O857" s="656" t="s">
        <v>37</v>
      </c>
      <c r="P857" s="656" t="s">
        <v>1176</v>
      </c>
      <c r="Q857" s="657">
        <v>0</v>
      </c>
      <c r="R857" s="657">
        <v>0</v>
      </c>
      <c r="S857" s="657">
        <v>69648</v>
      </c>
      <c r="T857" s="657">
        <v>69648</v>
      </c>
      <c r="U857" s="657">
        <v>7876</v>
      </c>
      <c r="V857" s="655">
        <v>2021</v>
      </c>
      <c r="W857" s="659"/>
      <c r="X857" s="660">
        <f t="shared" si="41"/>
        <v>8.8430675469781619</v>
      </c>
      <c r="Y857" s="661" t="str">
        <f t="shared" si="39"/>
        <v/>
      </c>
      <c r="Z857" s="661" t="str">
        <f t="shared" si="40"/>
        <v/>
      </c>
    </row>
    <row r="858" spans="1:26" s="128" customFormat="1" ht="25" hidden="1">
      <c r="A858" s="655">
        <v>52061</v>
      </c>
      <c r="B858" s="656" t="s">
        <v>54</v>
      </c>
      <c r="C858" s="655" t="s">
        <v>2793</v>
      </c>
      <c r="D858" s="656" t="s">
        <v>938</v>
      </c>
      <c r="E858" s="656" t="s">
        <v>939</v>
      </c>
      <c r="F858" s="655">
        <v>8153</v>
      </c>
      <c r="G858" s="656" t="s">
        <v>41</v>
      </c>
      <c r="H858" s="656" t="s">
        <v>1183</v>
      </c>
      <c r="I858" s="656" t="s">
        <v>58</v>
      </c>
      <c r="J858" s="655">
        <v>622</v>
      </c>
      <c r="K858" s="655">
        <v>5</v>
      </c>
      <c r="L858" s="656" t="s">
        <v>413</v>
      </c>
      <c r="M858" s="656" t="s">
        <v>38</v>
      </c>
      <c r="N858" s="656" t="s">
        <v>46</v>
      </c>
      <c r="O858" s="656" t="s">
        <v>46</v>
      </c>
      <c r="P858" s="656" t="s">
        <v>47</v>
      </c>
      <c r="Q858" s="657">
        <v>0</v>
      </c>
      <c r="R858" s="657">
        <v>0</v>
      </c>
      <c r="S858" s="657">
        <v>0</v>
      </c>
      <c r="T858" s="657">
        <v>0</v>
      </c>
      <c r="U858" s="657">
        <v>0</v>
      </c>
      <c r="V858" s="655">
        <v>2021</v>
      </c>
      <c r="W858" s="659"/>
      <c r="X858" s="660" t="str">
        <f t="shared" si="41"/>
        <v/>
      </c>
      <c r="Y858" s="661" t="str">
        <f t="shared" si="39"/>
        <v/>
      </c>
      <c r="Z858" s="661" t="str">
        <f t="shared" si="40"/>
        <v/>
      </c>
    </row>
    <row r="859" spans="1:26" s="128" customFormat="1" ht="25" hidden="1">
      <c r="A859" s="655">
        <v>52061</v>
      </c>
      <c r="B859" s="656" t="s">
        <v>54</v>
      </c>
      <c r="C859" s="655" t="s">
        <v>2793</v>
      </c>
      <c r="D859" s="656" t="s">
        <v>938</v>
      </c>
      <c r="E859" s="656" t="s">
        <v>939</v>
      </c>
      <c r="F859" s="655">
        <v>8153</v>
      </c>
      <c r="G859" s="656" t="s">
        <v>41</v>
      </c>
      <c r="H859" s="656" t="s">
        <v>1183</v>
      </c>
      <c r="I859" s="656" t="s">
        <v>58</v>
      </c>
      <c r="J859" s="655">
        <v>622</v>
      </c>
      <c r="K859" s="655">
        <v>5</v>
      </c>
      <c r="L859" s="656" t="s">
        <v>413</v>
      </c>
      <c r="M859" s="656" t="s">
        <v>38</v>
      </c>
      <c r="N859" s="656" t="s">
        <v>39</v>
      </c>
      <c r="O859" s="656" t="s">
        <v>39</v>
      </c>
      <c r="P859" s="656" t="s">
        <v>1037</v>
      </c>
      <c r="Q859" s="657">
        <v>0</v>
      </c>
      <c r="R859" s="657">
        <v>0</v>
      </c>
      <c r="S859" s="657">
        <v>0</v>
      </c>
      <c r="T859" s="657">
        <v>0</v>
      </c>
      <c r="U859" s="657">
        <v>0</v>
      </c>
      <c r="V859" s="655">
        <v>2021</v>
      </c>
      <c r="W859" s="659"/>
      <c r="X859" s="660" t="str">
        <f t="shared" si="41"/>
        <v/>
      </c>
      <c r="Y859" s="661" t="str">
        <f t="shared" si="39"/>
        <v/>
      </c>
      <c r="Z859" s="661" t="str">
        <f t="shared" si="40"/>
        <v/>
      </c>
    </row>
    <row r="860" spans="1:26" s="128" customFormat="1" ht="25" hidden="1">
      <c r="A860" s="655">
        <v>52061</v>
      </c>
      <c r="B860" s="656" t="s">
        <v>54</v>
      </c>
      <c r="C860" s="655" t="s">
        <v>2793</v>
      </c>
      <c r="D860" s="656" t="s">
        <v>938</v>
      </c>
      <c r="E860" s="656" t="s">
        <v>939</v>
      </c>
      <c r="F860" s="655">
        <v>8153</v>
      </c>
      <c r="G860" s="656" t="s">
        <v>41</v>
      </c>
      <c r="H860" s="656" t="s">
        <v>1183</v>
      </c>
      <c r="I860" s="656" t="s">
        <v>58</v>
      </c>
      <c r="J860" s="655">
        <v>622</v>
      </c>
      <c r="K860" s="655">
        <v>5</v>
      </c>
      <c r="L860" s="656" t="s">
        <v>413</v>
      </c>
      <c r="M860" s="656" t="s">
        <v>41</v>
      </c>
      <c r="N860" s="656" t="s">
        <v>46</v>
      </c>
      <c r="O860" s="656" t="s">
        <v>46</v>
      </c>
      <c r="P860" s="656" t="s">
        <v>47</v>
      </c>
      <c r="Q860" s="657">
        <v>6</v>
      </c>
      <c r="R860" s="657">
        <v>2</v>
      </c>
      <c r="S860" s="657">
        <v>35</v>
      </c>
      <c r="T860" s="657">
        <v>14</v>
      </c>
      <c r="U860" s="657">
        <v>2.4220000000000002</v>
      </c>
      <c r="V860" s="655">
        <v>2021</v>
      </c>
      <c r="W860" s="659"/>
      <c r="X860" s="660" t="str">
        <f t="shared" si="41"/>
        <v/>
      </c>
      <c r="Y860" s="661" t="str">
        <f t="shared" si="39"/>
        <v/>
      </c>
      <c r="Z860" s="661" t="str">
        <f t="shared" si="40"/>
        <v/>
      </c>
    </row>
    <row r="861" spans="1:26" s="128" customFormat="1" ht="25" hidden="1">
      <c r="A861" s="655">
        <v>52061</v>
      </c>
      <c r="B861" s="656" t="s">
        <v>54</v>
      </c>
      <c r="C861" s="655" t="s">
        <v>2793</v>
      </c>
      <c r="D861" s="656" t="s">
        <v>938</v>
      </c>
      <c r="E861" s="656" t="s">
        <v>939</v>
      </c>
      <c r="F861" s="655">
        <v>8153</v>
      </c>
      <c r="G861" s="656" t="s">
        <v>41</v>
      </c>
      <c r="H861" s="656" t="s">
        <v>1183</v>
      </c>
      <c r="I861" s="656" t="s">
        <v>58</v>
      </c>
      <c r="J861" s="655">
        <v>622</v>
      </c>
      <c r="K861" s="655">
        <v>5</v>
      </c>
      <c r="L861" s="656" t="s">
        <v>413</v>
      </c>
      <c r="M861" s="656" t="s">
        <v>41</v>
      </c>
      <c r="N861" s="656" t="s">
        <v>39</v>
      </c>
      <c r="O861" s="656" t="s">
        <v>39</v>
      </c>
      <c r="P861" s="656" t="s">
        <v>1037</v>
      </c>
      <c r="Q861" s="657">
        <v>566416</v>
      </c>
      <c r="R861" s="657">
        <v>228882</v>
      </c>
      <c r="S861" s="657">
        <v>581710</v>
      </c>
      <c r="T861" s="657">
        <v>235062</v>
      </c>
      <c r="U861" s="657">
        <v>40654.578000000001</v>
      </c>
      <c r="V861" s="655">
        <v>2021</v>
      </c>
      <c r="W861" s="659"/>
      <c r="X861" s="660" t="str">
        <f t="shared" si="41"/>
        <v/>
      </c>
      <c r="Y861" s="661" t="str">
        <f t="shared" si="39"/>
        <v/>
      </c>
      <c r="Z861" s="661" t="str">
        <f t="shared" si="40"/>
        <v/>
      </c>
    </row>
    <row r="862" spans="1:26" s="128" customFormat="1" ht="25" hidden="1">
      <c r="A862" s="655">
        <v>52061</v>
      </c>
      <c r="B862" s="656" t="s">
        <v>54</v>
      </c>
      <c r="C862" s="655" t="s">
        <v>2793</v>
      </c>
      <c r="D862" s="656" t="s">
        <v>938</v>
      </c>
      <c r="E862" s="656" t="s">
        <v>939</v>
      </c>
      <c r="F862" s="655">
        <v>8153</v>
      </c>
      <c r="G862" s="656" t="s">
        <v>41</v>
      </c>
      <c r="H862" s="656" t="s">
        <v>1183</v>
      </c>
      <c r="I862" s="656" t="s">
        <v>58</v>
      </c>
      <c r="J862" s="655">
        <v>622</v>
      </c>
      <c r="K862" s="655">
        <v>5</v>
      </c>
      <c r="L862" s="656" t="s">
        <v>413</v>
      </c>
      <c r="M862" s="656" t="s">
        <v>1255</v>
      </c>
      <c r="N862" s="656" t="s">
        <v>39</v>
      </c>
      <c r="O862" s="656" t="s">
        <v>39</v>
      </c>
      <c r="P862" s="656" t="s">
        <v>1037</v>
      </c>
      <c r="Q862" s="657">
        <v>101850</v>
      </c>
      <c r="R862" s="657">
        <v>58580</v>
      </c>
      <c r="S862" s="657">
        <v>104601</v>
      </c>
      <c r="T862" s="657">
        <v>60161</v>
      </c>
      <c r="U862" s="657">
        <v>11055</v>
      </c>
      <c r="V862" s="655">
        <v>2021</v>
      </c>
      <c r="W862" s="659"/>
      <c r="X862" s="660" t="str">
        <f t="shared" si="41"/>
        <v/>
      </c>
      <c r="Y862" s="661" t="str">
        <f t="shared" si="39"/>
        <v/>
      </c>
      <c r="Z862" s="661" t="str">
        <f t="shared" si="40"/>
        <v/>
      </c>
    </row>
    <row r="863" spans="1:26" s="128" customFormat="1" ht="25" hidden="1">
      <c r="A863" s="655">
        <v>52091</v>
      </c>
      <c r="B863" s="656" t="s">
        <v>33</v>
      </c>
      <c r="C863" s="655" t="s">
        <v>2793</v>
      </c>
      <c r="D863" s="656" t="s">
        <v>3369</v>
      </c>
      <c r="E863" s="656" t="s">
        <v>3369</v>
      </c>
      <c r="F863" s="655">
        <v>13484</v>
      </c>
      <c r="G863" s="656" t="s">
        <v>57</v>
      </c>
      <c r="H863" s="656" t="s">
        <v>1182</v>
      </c>
      <c r="I863" s="656" t="s">
        <v>58</v>
      </c>
      <c r="J863" s="655">
        <v>22</v>
      </c>
      <c r="K863" s="655">
        <v>2</v>
      </c>
      <c r="L863" s="656" t="s">
        <v>52</v>
      </c>
      <c r="M863" s="656" t="s">
        <v>51</v>
      </c>
      <c r="N863" s="656" t="s">
        <v>46</v>
      </c>
      <c r="O863" s="656" t="s">
        <v>46</v>
      </c>
      <c r="P863" s="656" t="s">
        <v>47</v>
      </c>
      <c r="Q863" s="657">
        <v>48</v>
      </c>
      <c r="R863" s="657">
        <v>48</v>
      </c>
      <c r="S863" s="657">
        <v>281</v>
      </c>
      <c r="T863" s="657">
        <v>281</v>
      </c>
      <c r="U863" s="657">
        <v>48</v>
      </c>
      <c r="V863" s="655">
        <v>2021</v>
      </c>
      <c r="W863" s="659"/>
      <c r="X863" s="660">
        <f t="shared" si="41"/>
        <v>5.854166666666667</v>
      </c>
      <c r="Y863" s="661" t="str">
        <f t="shared" si="39"/>
        <v/>
      </c>
      <c r="Z863" s="661" t="str">
        <f t="shared" si="40"/>
        <v/>
      </c>
    </row>
    <row r="864" spans="1:26" s="128" customFormat="1" ht="25" hidden="1">
      <c r="A864" s="655">
        <v>52091</v>
      </c>
      <c r="B864" s="656" t="s">
        <v>33</v>
      </c>
      <c r="C864" s="655" t="s">
        <v>2793</v>
      </c>
      <c r="D864" s="656" t="s">
        <v>3369</v>
      </c>
      <c r="E864" s="656" t="s">
        <v>3369</v>
      </c>
      <c r="F864" s="655">
        <v>13484</v>
      </c>
      <c r="G864" s="656" t="s">
        <v>57</v>
      </c>
      <c r="H864" s="656" t="s">
        <v>1182</v>
      </c>
      <c r="I864" s="656" t="s">
        <v>58</v>
      </c>
      <c r="J864" s="655">
        <v>22</v>
      </c>
      <c r="K864" s="655">
        <v>2</v>
      </c>
      <c r="L864" s="656" t="s">
        <v>52</v>
      </c>
      <c r="M864" s="656" t="s">
        <v>51</v>
      </c>
      <c r="N864" s="656" t="s">
        <v>39</v>
      </c>
      <c r="O864" s="656" t="s">
        <v>39</v>
      </c>
      <c r="P864" s="656" t="s">
        <v>1037</v>
      </c>
      <c r="Q864" s="657">
        <v>0</v>
      </c>
      <c r="R864" s="657">
        <v>0</v>
      </c>
      <c r="S864" s="657">
        <v>0</v>
      </c>
      <c r="T864" s="657">
        <v>0</v>
      </c>
      <c r="U864" s="657">
        <v>0</v>
      </c>
      <c r="V864" s="655">
        <v>2021</v>
      </c>
      <c r="W864" s="659"/>
      <c r="X864" s="660" t="str">
        <f t="shared" si="41"/>
        <v/>
      </c>
      <c r="Y864" s="661" t="str">
        <f t="shared" si="39"/>
        <v/>
      </c>
      <c r="Z864" s="661" t="str">
        <f t="shared" si="40"/>
        <v/>
      </c>
    </row>
    <row r="865" spans="1:26" s="128" customFormat="1" ht="25">
      <c r="A865" s="655">
        <v>52166</v>
      </c>
      <c r="B865" s="656" t="s">
        <v>33</v>
      </c>
      <c r="C865" s="655" t="s">
        <v>2793</v>
      </c>
      <c r="D865" s="656" t="s">
        <v>940</v>
      </c>
      <c r="E865" s="656" t="s">
        <v>2806</v>
      </c>
      <c r="F865" s="655">
        <v>63181</v>
      </c>
      <c r="G865" s="656" t="s">
        <v>81</v>
      </c>
      <c r="H865" s="656" t="s">
        <v>1183</v>
      </c>
      <c r="I865" s="656" t="s">
        <v>58</v>
      </c>
      <c r="J865" s="655">
        <v>22</v>
      </c>
      <c r="K865" s="655">
        <v>2</v>
      </c>
      <c r="L865" s="656" t="s">
        <v>52</v>
      </c>
      <c r="M865" s="656" t="s">
        <v>35</v>
      </c>
      <c r="N865" s="656" t="s">
        <v>36</v>
      </c>
      <c r="O865" s="656" t="s">
        <v>37</v>
      </c>
      <c r="P865" s="656" t="s">
        <v>1176</v>
      </c>
      <c r="Q865" s="657">
        <v>0</v>
      </c>
      <c r="R865" s="657">
        <v>0</v>
      </c>
      <c r="S865" s="657">
        <v>43455</v>
      </c>
      <c r="T865" s="657">
        <v>43455</v>
      </c>
      <c r="U865" s="657">
        <v>4914</v>
      </c>
      <c r="V865" s="655">
        <v>2021</v>
      </c>
      <c r="W865" s="659"/>
      <c r="X865" s="660">
        <f t="shared" si="41"/>
        <v>8.8431013431013437</v>
      </c>
      <c r="Y865" s="661" t="str">
        <f t="shared" si="39"/>
        <v/>
      </c>
      <c r="Z865" s="661" t="str">
        <f t="shared" si="40"/>
        <v/>
      </c>
    </row>
    <row r="866" spans="1:26" s="128" customFormat="1" ht="25" hidden="1">
      <c r="A866" s="655">
        <v>52171</v>
      </c>
      <c r="B866" s="656" t="s">
        <v>33</v>
      </c>
      <c r="C866" s="655" t="s">
        <v>2793</v>
      </c>
      <c r="D866" s="656" t="s">
        <v>1060</v>
      </c>
      <c r="E866" s="656" t="s">
        <v>1053</v>
      </c>
      <c r="F866" s="655">
        <v>56838</v>
      </c>
      <c r="G866" s="656" t="s">
        <v>90</v>
      </c>
      <c r="H866" s="656" t="s">
        <v>1183</v>
      </c>
      <c r="I866" s="656" t="s">
        <v>58</v>
      </c>
      <c r="J866" s="655">
        <v>22</v>
      </c>
      <c r="K866" s="655">
        <v>2</v>
      </c>
      <c r="L866" s="656" t="s">
        <v>52</v>
      </c>
      <c r="M866" s="656" t="s">
        <v>35</v>
      </c>
      <c r="N866" s="656" t="s">
        <v>36</v>
      </c>
      <c r="O866" s="656" t="s">
        <v>37</v>
      </c>
      <c r="P866" s="656" t="s">
        <v>1176</v>
      </c>
      <c r="Q866" s="657">
        <v>0</v>
      </c>
      <c r="R866" s="657">
        <v>0</v>
      </c>
      <c r="S866" s="657">
        <v>34814</v>
      </c>
      <c r="T866" s="657">
        <v>34814</v>
      </c>
      <c r="U866" s="657">
        <v>3937</v>
      </c>
      <c r="V866" s="655">
        <v>2021</v>
      </c>
      <c r="W866" s="659"/>
      <c r="X866" s="660">
        <f t="shared" si="41"/>
        <v>8.8427736855473711</v>
      </c>
      <c r="Y866" s="661" t="str">
        <f t="shared" si="39"/>
        <v/>
      </c>
      <c r="Z866" s="661" t="str">
        <f t="shared" si="40"/>
        <v/>
      </c>
    </row>
    <row r="867" spans="1:26" s="128" customFormat="1" hidden="1">
      <c r="A867" s="655">
        <v>54034</v>
      </c>
      <c r="B867" s="656" t="s">
        <v>33</v>
      </c>
      <c r="C867" s="655" t="s">
        <v>2793</v>
      </c>
      <c r="D867" s="656" t="s">
        <v>18</v>
      </c>
      <c r="E867" s="656" t="s">
        <v>1909</v>
      </c>
      <c r="F867" s="655">
        <v>6838</v>
      </c>
      <c r="G867" s="656" t="s">
        <v>57</v>
      </c>
      <c r="H867" s="656" t="s">
        <v>1182</v>
      </c>
      <c r="I867" s="656" t="s">
        <v>58</v>
      </c>
      <c r="J867" s="655">
        <v>22</v>
      </c>
      <c r="K867" s="655">
        <v>2</v>
      </c>
      <c r="L867" s="656" t="s">
        <v>52</v>
      </c>
      <c r="M867" s="656" t="s">
        <v>38</v>
      </c>
      <c r="N867" s="656" t="s">
        <v>46</v>
      </c>
      <c r="O867" s="656" t="s">
        <v>46</v>
      </c>
      <c r="P867" s="656" t="s">
        <v>47</v>
      </c>
      <c r="Q867" s="657">
        <v>0</v>
      </c>
      <c r="R867" s="657">
        <v>0</v>
      </c>
      <c r="S867" s="657">
        <v>0</v>
      </c>
      <c r="T867" s="657">
        <v>0</v>
      </c>
      <c r="U867" s="657">
        <v>0</v>
      </c>
      <c r="V867" s="655">
        <v>2021</v>
      </c>
      <c r="W867" s="659" t="s">
        <v>3675</v>
      </c>
      <c r="X867" s="660" t="str">
        <f t="shared" si="41"/>
        <v/>
      </c>
      <c r="Y867" s="661" t="str">
        <f t="shared" si="39"/>
        <v/>
      </c>
      <c r="Z867" s="661" t="str">
        <f t="shared" si="40"/>
        <v/>
      </c>
    </row>
    <row r="868" spans="1:26" s="128" customFormat="1" hidden="1">
      <c r="A868" s="655">
        <v>54034</v>
      </c>
      <c r="B868" s="656" t="s">
        <v>33</v>
      </c>
      <c r="C868" s="655" t="s">
        <v>2793</v>
      </c>
      <c r="D868" s="656" t="s">
        <v>18</v>
      </c>
      <c r="E868" s="656" t="s">
        <v>1909</v>
      </c>
      <c r="F868" s="655">
        <v>6838</v>
      </c>
      <c r="G868" s="656" t="s">
        <v>57</v>
      </c>
      <c r="H868" s="656" t="s">
        <v>1182</v>
      </c>
      <c r="I868" s="656" t="s">
        <v>58</v>
      </c>
      <c r="J868" s="655">
        <v>22</v>
      </c>
      <c r="K868" s="655">
        <v>2</v>
      </c>
      <c r="L868" s="656" t="s">
        <v>52</v>
      </c>
      <c r="M868" s="656" t="s">
        <v>38</v>
      </c>
      <c r="N868" s="656" t="s">
        <v>39</v>
      </c>
      <c r="O868" s="656" t="s">
        <v>39</v>
      </c>
      <c r="P868" s="656" t="s">
        <v>1037</v>
      </c>
      <c r="Q868" s="657">
        <v>33445</v>
      </c>
      <c r="R868" s="657">
        <v>33445</v>
      </c>
      <c r="S868" s="657">
        <v>34446</v>
      </c>
      <c r="T868" s="657">
        <v>34446</v>
      </c>
      <c r="U868" s="657">
        <v>12060</v>
      </c>
      <c r="V868" s="655">
        <v>2021</v>
      </c>
      <c r="W868" s="659" t="s">
        <v>3675</v>
      </c>
      <c r="X868" s="660">
        <f t="shared" si="41"/>
        <v>2.856218905472637</v>
      </c>
      <c r="Y868" s="661" t="str">
        <f t="shared" si="39"/>
        <v/>
      </c>
      <c r="Z868" s="661" t="str">
        <f t="shared" si="40"/>
        <v/>
      </c>
    </row>
    <row r="869" spans="1:26" s="128" customFormat="1" hidden="1">
      <c r="A869" s="655">
        <v>54034</v>
      </c>
      <c r="B869" s="656" t="s">
        <v>33</v>
      </c>
      <c r="C869" s="655" t="s">
        <v>2793</v>
      </c>
      <c r="D869" s="656" t="s">
        <v>18</v>
      </c>
      <c r="E869" s="656" t="s">
        <v>1909</v>
      </c>
      <c r="F869" s="655">
        <v>6838</v>
      </c>
      <c r="G869" s="656" t="s">
        <v>57</v>
      </c>
      <c r="H869" s="656" t="s">
        <v>1182</v>
      </c>
      <c r="I869" s="656" t="s">
        <v>58</v>
      </c>
      <c r="J869" s="655">
        <v>22</v>
      </c>
      <c r="K869" s="655">
        <v>2</v>
      </c>
      <c r="L869" s="656" t="s">
        <v>52</v>
      </c>
      <c r="M869" s="656" t="s">
        <v>41</v>
      </c>
      <c r="N869" s="656" t="s">
        <v>46</v>
      </c>
      <c r="O869" s="656" t="s">
        <v>46</v>
      </c>
      <c r="P869" s="656" t="s">
        <v>47</v>
      </c>
      <c r="Q869" s="657">
        <v>0</v>
      </c>
      <c r="R869" s="657">
        <v>0</v>
      </c>
      <c r="S869" s="657">
        <v>0</v>
      </c>
      <c r="T869" s="657">
        <v>0</v>
      </c>
      <c r="U869" s="657">
        <v>0</v>
      </c>
      <c r="V869" s="655">
        <v>2021</v>
      </c>
      <c r="W869" s="659" t="s">
        <v>3675</v>
      </c>
      <c r="X869" s="660" t="str">
        <f t="shared" si="41"/>
        <v/>
      </c>
      <c r="Y869" s="661" t="str">
        <f t="shared" si="39"/>
        <v/>
      </c>
      <c r="Z869" s="661" t="str">
        <f t="shared" si="40"/>
        <v/>
      </c>
    </row>
    <row r="870" spans="1:26" s="128" customFormat="1" hidden="1">
      <c r="A870" s="655">
        <v>54034</v>
      </c>
      <c r="B870" s="656" t="s">
        <v>33</v>
      </c>
      <c r="C870" s="655" t="s">
        <v>2793</v>
      </c>
      <c r="D870" s="656" t="s">
        <v>18</v>
      </c>
      <c r="E870" s="656" t="s">
        <v>1909</v>
      </c>
      <c r="F870" s="655">
        <v>6838</v>
      </c>
      <c r="G870" s="656" t="s">
        <v>57</v>
      </c>
      <c r="H870" s="656" t="s">
        <v>1182</v>
      </c>
      <c r="I870" s="656" t="s">
        <v>58</v>
      </c>
      <c r="J870" s="655">
        <v>22</v>
      </c>
      <c r="K870" s="655">
        <v>2</v>
      </c>
      <c r="L870" s="656" t="s">
        <v>52</v>
      </c>
      <c r="M870" s="656" t="s">
        <v>41</v>
      </c>
      <c r="N870" s="656" t="s">
        <v>39</v>
      </c>
      <c r="O870" s="656" t="s">
        <v>39</v>
      </c>
      <c r="P870" s="656" t="s">
        <v>1037</v>
      </c>
      <c r="Q870" s="657">
        <v>270551</v>
      </c>
      <c r="R870" s="657">
        <v>270551</v>
      </c>
      <c r="S870" s="657">
        <v>278723</v>
      </c>
      <c r="T870" s="657">
        <v>278723</v>
      </c>
      <c r="U870" s="657">
        <v>22827</v>
      </c>
      <c r="V870" s="655">
        <v>2021</v>
      </c>
      <c r="W870" s="659" t="s">
        <v>3675</v>
      </c>
      <c r="X870" s="660">
        <f t="shared" si="41"/>
        <v>12.210233495422088</v>
      </c>
      <c r="Y870" s="661" t="str">
        <f t="shared" si="39"/>
        <v/>
      </c>
      <c r="Z870" s="661" t="str">
        <f t="shared" si="40"/>
        <v/>
      </c>
    </row>
    <row r="871" spans="1:26" s="128" customFormat="1" ht="25" hidden="1">
      <c r="A871" s="655">
        <v>54041</v>
      </c>
      <c r="B871" s="656" t="s">
        <v>54</v>
      </c>
      <c r="C871" s="655" t="s">
        <v>2793</v>
      </c>
      <c r="D871" s="656" t="s">
        <v>19</v>
      </c>
      <c r="E871" s="656" t="s">
        <v>19</v>
      </c>
      <c r="F871" s="655">
        <v>11127</v>
      </c>
      <c r="G871" s="656" t="s">
        <v>57</v>
      </c>
      <c r="H871" s="656" t="s">
        <v>1182</v>
      </c>
      <c r="I871" s="656" t="s">
        <v>58</v>
      </c>
      <c r="J871" s="655">
        <v>22</v>
      </c>
      <c r="K871" s="655">
        <v>3</v>
      </c>
      <c r="L871" s="656" t="s">
        <v>55</v>
      </c>
      <c r="M871" s="656" t="s">
        <v>38</v>
      </c>
      <c r="N871" s="656" t="s">
        <v>46</v>
      </c>
      <c r="O871" s="656" t="s">
        <v>46</v>
      </c>
      <c r="P871" s="656" t="s">
        <v>47</v>
      </c>
      <c r="Q871" s="657">
        <v>0</v>
      </c>
      <c r="R871" s="657">
        <v>0</v>
      </c>
      <c r="S871" s="657">
        <v>0</v>
      </c>
      <c r="T871" s="657">
        <v>0</v>
      </c>
      <c r="U871" s="657">
        <v>0</v>
      </c>
      <c r="V871" s="655">
        <v>2021</v>
      </c>
      <c r="W871" s="659"/>
      <c r="X871" s="660" t="str">
        <f t="shared" si="41"/>
        <v/>
      </c>
      <c r="Y871" s="661" t="str">
        <f t="shared" si="39"/>
        <v/>
      </c>
      <c r="Z871" s="661" t="str">
        <f t="shared" si="40"/>
        <v/>
      </c>
    </row>
    <row r="872" spans="1:26" s="128" customFormat="1" ht="25" hidden="1">
      <c r="A872" s="655">
        <v>54041</v>
      </c>
      <c r="B872" s="656" t="s">
        <v>54</v>
      </c>
      <c r="C872" s="655" t="s">
        <v>2793</v>
      </c>
      <c r="D872" s="656" t="s">
        <v>19</v>
      </c>
      <c r="E872" s="656" t="s">
        <v>19</v>
      </c>
      <c r="F872" s="655">
        <v>11127</v>
      </c>
      <c r="G872" s="656" t="s">
        <v>57</v>
      </c>
      <c r="H872" s="656" t="s">
        <v>1182</v>
      </c>
      <c r="I872" s="656" t="s">
        <v>58</v>
      </c>
      <c r="J872" s="655">
        <v>22</v>
      </c>
      <c r="K872" s="655">
        <v>3</v>
      </c>
      <c r="L872" s="656" t="s">
        <v>55</v>
      </c>
      <c r="M872" s="656" t="s">
        <v>38</v>
      </c>
      <c r="N872" s="656" t="s">
        <v>39</v>
      </c>
      <c r="O872" s="656" t="s">
        <v>39</v>
      </c>
      <c r="P872" s="656" t="s">
        <v>1037</v>
      </c>
      <c r="Q872" s="657">
        <v>0</v>
      </c>
      <c r="R872" s="657">
        <v>0</v>
      </c>
      <c r="S872" s="657">
        <v>0</v>
      </c>
      <c r="T872" s="657">
        <v>0</v>
      </c>
      <c r="U872" s="657">
        <v>17537.599999999999</v>
      </c>
      <c r="V872" s="655">
        <v>2021</v>
      </c>
      <c r="W872" s="659"/>
      <c r="X872" s="660" t="str">
        <f t="shared" si="41"/>
        <v/>
      </c>
      <c r="Y872" s="661" t="str">
        <f t="shared" si="39"/>
        <v/>
      </c>
      <c r="Z872" s="661" t="str">
        <f t="shared" si="40"/>
        <v/>
      </c>
    </row>
    <row r="873" spans="1:26" s="128" customFormat="1" ht="25" hidden="1">
      <c r="A873" s="655">
        <v>54041</v>
      </c>
      <c r="B873" s="656" t="s">
        <v>54</v>
      </c>
      <c r="C873" s="655" t="s">
        <v>2793</v>
      </c>
      <c r="D873" s="656" t="s">
        <v>19</v>
      </c>
      <c r="E873" s="656" t="s">
        <v>19</v>
      </c>
      <c r="F873" s="655">
        <v>11127</v>
      </c>
      <c r="G873" s="656" t="s">
        <v>57</v>
      </c>
      <c r="H873" s="656" t="s">
        <v>1182</v>
      </c>
      <c r="I873" s="656" t="s">
        <v>58</v>
      </c>
      <c r="J873" s="655">
        <v>22</v>
      </c>
      <c r="K873" s="655">
        <v>3</v>
      </c>
      <c r="L873" s="656" t="s">
        <v>55</v>
      </c>
      <c r="M873" s="656" t="s">
        <v>41</v>
      </c>
      <c r="N873" s="656" t="s">
        <v>46</v>
      </c>
      <c r="O873" s="656" t="s">
        <v>46</v>
      </c>
      <c r="P873" s="656" t="s">
        <v>47</v>
      </c>
      <c r="Q873" s="657">
        <v>0</v>
      </c>
      <c r="R873" s="657">
        <v>0</v>
      </c>
      <c r="S873" s="657">
        <v>0</v>
      </c>
      <c r="T873" s="657">
        <v>0</v>
      </c>
      <c r="U873" s="657">
        <v>0</v>
      </c>
      <c r="V873" s="655">
        <v>2021</v>
      </c>
      <c r="W873" s="659"/>
      <c r="X873" s="660" t="str">
        <f t="shared" si="41"/>
        <v/>
      </c>
      <c r="Y873" s="661" t="str">
        <f t="shared" si="39"/>
        <v/>
      </c>
      <c r="Z873" s="661" t="str">
        <f t="shared" si="40"/>
        <v/>
      </c>
    </row>
    <row r="874" spans="1:26" s="128" customFormat="1" ht="25" hidden="1">
      <c r="A874" s="655">
        <v>54041</v>
      </c>
      <c r="B874" s="656" t="s">
        <v>54</v>
      </c>
      <c r="C874" s="655" t="s">
        <v>2793</v>
      </c>
      <c r="D874" s="656" t="s">
        <v>19</v>
      </c>
      <c r="E874" s="656" t="s">
        <v>19</v>
      </c>
      <c r="F874" s="655">
        <v>11127</v>
      </c>
      <c r="G874" s="656" t="s">
        <v>57</v>
      </c>
      <c r="H874" s="656" t="s">
        <v>1182</v>
      </c>
      <c r="I874" s="656" t="s">
        <v>58</v>
      </c>
      <c r="J874" s="655">
        <v>22</v>
      </c>
      <c r="K874" s="655">
        <v>3</v>
      </c>
      <c r="L874" s="656" t="s">
        <v>55</v>
      </c>
      <c r="M874" s="656" t="s">
        <v>41</v>
      </c>
      <c r="N874" s="656" t="s">
        <v>39</v>
      </c>
      <c r="O874" s="656" t="s">
        <v>39</v>
      </c>
      <c r="P874" s="656" t="s">
        <v>1037</v>
      </c>
      <c r="Q874" s="657">
        <v>477773</v>
      </c>
      <c r="R874" s="657">
        <v>477773</v>
      </c>
      <c r="S874" s="657">
        <v>493062</v>
      </c>
      <c r="T874" s="657">
        <v>493062</v>
      </c>
      <c r="U874" s="657">
        <v>38594.36</v>
      </c>
      <c r="V874" s="655">
        <v>2021</v>
      </c>
      <c r="W874" s="659"/>
      <c r="X874" s="660">
        <f t="shared" si="41"/>
        <v>12.775493621347783</v>
      </c>
      <c r="Y874" s="661" t="str">
        <f t="shared" si="39"/>
        <v/>
      </c>
      <c r="Z874" s="661" t="str">
        <f t="shared" si="40"/>
        <v/>
      </c>
    </row>
    <row r="875" spans="1:26" s="128" customFormat="1" ht="25" hidden="1">
      <c r="A875" s="655">
        <v>54056</v>
      </c>
      <c r="B875" s="656" t="s">
        <v>33</v>
      </c>
      <c r="C875" s="655" t="s">
        <v>2793</v>
      </c>
      <c r="D875" s="656" t="s">
        <v>941</v>
      </c>
      <c r="E875" s="656" t="s">
        <v>942</v>
      </c>
      <c r="F875" s="655">
        <v>14584</v>
      </c>
      <c r="G875" s="656" t="s">
        <v>131</v>
      </c>
      <c r="H875" s="656" t="s">
        <v>1183</v>
      </c>
      <c r="I875" s="656" t="s">
        <v>58</v>
      </c>
      <c r="J875" s="655">
        <v>22</v>
      </c>
      <c r="K875" s="655">
        <v>2</v>
      </c>
      <c r="L875" s="656" t="s">
        <v>52</v>
      </c>
      <c r="M875" s="656" t="s">
        <v>38</v>
      </c>
      <c r="N875" s="656" t="s">
        <v>46</v>
      </c>
      <c r="O875" s="656" t="s">
        <v>46</v>
      </c>
      <c r="P875" s="656" t="s">
        <v>47</v>
      </c>
      <c r="Q875" s="657">
        <v>0</v>
      </c>
      <c r="R875" s="657">
        <v>0</v>
      </c>
      <c r="S875" s="657">
        <v>0</v>
      </c>
      <c r="T875" s="657">
        <v>0</v>
      </c>
      <c r="U875" s="657">
        <v>4.516</v>
      </c>
      <c r="V875" s="655">
        <v>2021</v>
      </c>
      <c r="W875" s="659" t="s">
        <v>3675</v>
      </c>
      <c r="X875" s="660" t="str">
        <f t="shared" si="41"/>
        <v/>
      </c>
      <c r="Y875" s="661" t="str">
        <f t="shared" si="39"/>
        <v/>
      </c>
      <c r="Z875" s="661" t="str">
        <f t="shared" si="40"/>
        <v/>
      </c>
    </row>
    <row r="876" spans="1:26" s="128" customFormat="1" ht="25" hidden="1">
      <c r="A876" s="655">
        <v>54056</v>
      </c>
      <c r="B876" s="656" t="s">
        <v>33</v>
      </c>
      <c r="C876" s="655" t="s">
        <v>2793</v>
      </c>
      <c r="D876" s="656" t="s">
        <v>941</v>
      </c>
      <c r="E876" s="656" t="s">
        <v>942</v>
      </c>
      <c r="F876" s="655">
        <v>14584</v>
      </c>
      <c r="G876" s="656" t="s">
        <v>131</v>
      </c>
      <c r="H876" s="656" t="s">
        <v>1183</v>
      </c>
      <c r="I876" s="656" t="s">
        <v>58</v>
      </c>
      <c r="J876" s="655">
        <v>22</v>
      </c>
      <c r="K876" s="655">
        <v>2</v>
      </c>
      <c r="L876" s="656" t="s">
        <v>52</v>
      </c>
      <c r="M876" s="656" t="s">
        <v>38</v>
      </c>
      <c r="N876" s="656" t="s">
        <v>39</v>
      </c>
      <c r="O876" s="656" t="s">
        <v>39</v>
      </c>
      <c r="P876" s="656" t="s">
        <v>1037</v>
      </c>
      <c r="Q876" s="657">
        <v>0</v>
      </c>
      <c r="R876" s="657">
        <v>0</v>
      </c>
      <c r="S876" s="657">
        <v>0</v>
      </c>
      <c r="T876" s="657">
        <v>0</v>
      </c>
      <c r="U876" s="657">
        <v>999.48400000000004</v>
      </c>
      <c r="V876" s="655">
        <v>2021</v>
      </c>
      <c r="W876" s="659" t="s">
        <v>3675</v>
      </c>
      <c r="X876" s="660" t="str">
        <f t="shared" si="41"/>
        <v/>
      </c>
      <c r="Y876" s="661" t="str">
        <f t="shared" si="39"/>
        <v/>
      </c>
      <c r="Z876" s="661" t="str">
        <f t="shared" si="40"/>
        <v/>
      </c>
    </row>
    <row r="877" spans="1:26" s="128" customFormat="1" ht="25" hidden="1">
      <c r="A877" s="655">
        <v>54056</v>
      </c>
      <c r="B877" s="656" t="s">
        <v>33</v>
      </c>
      <c r="C877" s="655" t="s">
        <v>2793</v>
      </c>
      <c r="D877" s="656" t="s">
        <v>941</v>
      </c>
      <c r="E877" s="656" t="s">
        <v>942</v>
      </c>
      <c r="F877" s="655">
        <v>14584</v>
      </c>
      <c r="G877" s="656" t="s">
        <v>131</v>
      </c>
      <c r="H877" s="656" t="s">
        <v>1183</v>
      </c>
      <c r="I877" s="656" t="s">
        <v>58</v>
      </c>
      <c r="J877" s="655">
        <v>22</v>
      </c>
      <c r="K877" s="655">
        <v>2</v>
      </c>
      <c r="L877" s="656" t="s">
        <v>52</v>
      </c>
      <c r="M877" s="656" t="s">
        <v>41</v>
      </c>
      <c r="N877" s="656" t="s">
        <v>46</v>
      </c>
      <c r="O877" s="656" t="s">
        <v>46</v>
      </c>
      <c r="P877" s="656" t="s">
        <v>47</v>
      </c>
      <c r="Q877" s="657">
        <v>131</v>
      </c>
      <c r="R877" s="657">
        <v>131</v>
      </c>
      <c r="S877" s="657">
        <v>135</v>
      </c>
      <c r="T877" s="657">
        <v>135</v>
      </c>
      <c r="U877" s="657">
        <v>10.544</v>
      </c>
      <c r="V877" s="655">
        <v>2021</v>
      </c>
      <c r="W877" s="659" t="s">
        <v>3675</v>
      </c>
      <c r="X877" s="660">
        <f t="shared" si="41"/>
        <v>12.803490136570561</v>
      </c>
      <c r="Y877" s="661" t="str">
        <f t="shared" si="39"/>
        <v/>
      </c>
      <c r="Z877" s="661" t="str">
        <f t="shared" si="40"/>
        <v/>
      </c>
    </row>
    <row r="878" spans="1:26" s="128" customFormat="1" ht="25" hidden="1">
      <c r="A878" s="655">
        <v>54056</v>
      </c>
      <c r="B878" s="656" t="s">
        <v>33</v>
      </c>
      <c r="C878" s="655" t="s">
        <v>2793</v>
      </c>
      <c r="D878" s="656" t="s">
        <v>941</v>
      </c>
      <c r="E878" s="656" t="s">
        <v>942</v>
      </c>
      <c r="F878" s="655">
        <v>14584</v>
      </c>
      <c r="G878" s="656" t="s">
        <v>131</v>
      </c>
      <c r="H878" s="656" t="s">
        <v>1183</v>
      </c>
      <c r="I878" s="656" t="s">
        <v>58</v>
      </c>
      <c r="J878" s="655">
        <v>22</v>
      </c>
      <c r="K878" s="655">
        <v>2</v>
      </c>
      <c r="L878" s="656" t="s">
        <v>52</v>
      </c>
      <c r="M878" s="656" t="s">
        <v>41</v>
      </c>
      <c r="N878" s="656" t="s">
        <v>39</v>
      </c>
      <c r="O878" s="656" t="s">
        <v>39</v>
      </c>
      <c r="P878" s="656" t="s">
        <v>1037</v>
      </c>
      <c r="Q878" s="657">
        <v>5184</v>
      </c>
      <c r="R878" s="657">
        <v>5184</v>
      </c>
      <c r="S878" s="657">
        <v>29860</v>
      </c>
      <c r="T878" s="657">
        <v>29860</v>
      </c>
      <c r="U878" s="657">
        <v>2333.4560000000001</v>
      </c>
      <c r="V878" s="655">
        <v>2021</v>
      </c>
      <c r="W878" s="659" t="s">
        <v>3675</v>
      </c>
      <c r="X878" s="660">
        <f t="shared" si="41"/>
        <v>12.796470128427533</v>
      </c>
      <c r="Y878" s="661" t="str">
        <f t="shared" si="39"/>
        <v/>
      </c>
      <c r="Z878" s="661" t="str">
        <f t="shared" si="40"/>
        <v/>
      </c>
    </row>
    <row r="879" spans="1:26" s="128" customFormat="1" ht="25" hidden="1">
      <c r="A879" s="655">
        <v>54076</v>
      </c>
      <c r="B879" s="656" t="s">
        <v>54</v>
      </c>
      <c r="C879" s="655" t="s">
        <v>2793</v>
      </c>
      <c r="D879" s="656" t="s">
        <v>943</v>
      </c>
      <c r="E879" s="656" t="s">
        <v>944</v>
      </c>
      <c r="F879" s="655">
        <v>9261</v>
      </c>
      <c r="G879" s="656" t="s">
        <v>57</v>
      </c>
      <c r="H879" s="656" t="s">
        <v>1182</v>
      </c>
      <c r="I879" s="656" t="s">
        <v>58</v>
      </c>
      <c r="J879" s="655">
        <v>22</v>
      </c>
      <c r="K879" s="655">
        <v>3</v>
      </c>
      <c r="L879" s="656" t="s">
        <v>55</v>
      </c>
      <c r="M879" s="656" t="s">
        <v>38</v>
      </c>
      <c r="N879" s="656" t="s">
        <v>46</v>
      </c>
      <c r="O879" s="656" t="s">
        <v>46</v>
      </c>
      <c r="P879" s="656" t="s">
        <v>47</v>
      </c>
      <c r="Q879" s="657">
        <v>0</v>
      </c>
      <c r="R879" s="657">
        <v>0</v>
      </c>
      <c r="S879" s="657">
        <v>0</v>
      </c>
      <c r="T879" s="657">
        <v>0</v>
      </c>
      <c r="U879" s="657">
        <v>0.84899999999999998</v>
      </c>
      <c r="V879" s="655">
        <v>2021</v>
      </c>
      <c r="W879" s="659"/>
      <c r="X879" s="660" t="str">
        <f t="shared" si="41"/>
        <v/>
      </c>
      <c r="Y879" s="661" t="str">
        <f t="shared" si="39"/>
        <v/>
      </c>
      <c r="Z879" s="661" t="str">
        <f t="shared" si="40"/>
        <v/>
      </c>
    </row>
    <row r="880" spans="1:26" s="128" customFormat="1" ht="25" hidden="1">
      <c r="A880" s="655">
        <v>54076</v>
      </c>
      <c r="B880" s="656" t="s">
        <v>54</v>
      </c>
      <c r="C880" s="655" t="s">
        <v>2793</v>
      </c>
      <c r="D880" s="656" t="s">
        <v>943</v>
      </c>
      <c r="E880" s="656" t="s">
        <v>944</v>
      </c>
      <c r="F880" s="655">
        <v>9261</v>
      </c>
      <c r="G880" s="656" t="s">
        <v>57</v>
      </c>
      <c r="H880" s="656" t="s">
        <v>1182</v>
      </c>
      <c r="I880" s="656" t="s">
        <v>58</v>
      </c>
      <c r="J880" s="655">
        <v>22</v>
      </c>
      <c r="K880" s="655">
        <v>3</v>
      </c>
      <c r="L880" s="656" t="s">
        <v>55</v>
      </c>
      <c r="M880" s="656" t="s">
        <v>38</v>
      </c>
      <c r="N880" s="656" t="s">
        <v>39</v>
      </c>
      <c r="O880" s="656" t="s">
        <v>39</v>
      </c>
      <c r="P880" s="656" t="s">
        <v>1037</v>
      </c>
      <c r="Q880" s="657">
        <v>117328</v>
      </c>
      <c r="R880" s="657">
        <v>117328</v>
      </c>
      <c r="S880" s="657">
        <v>124301</v>
      </c>
      <c r="T880" s="657">
        <v>124301</v>
      </c>
      <c r="U880" s="657">
        <v>23539.151000000002</v>
      </c>
      <c r="V880" s="655">
        <v>2021</v>
      </c>
      <c r="W880" s="659"/>
      <c r="X880" s="660">
        <f t="shared" si="41"/>
        <v>5.2806067644495753</v>
      </c>
      <c r="Y880" s="661" t="str">
        <f t="shared" si="39"/>
        <v/>
      </c>
      <c r="Z880" s="661" t="str">
        <f t="shared" si="40"/>
        <v/>
      </c>
    </row>
    <row r="881" spans="1:26" s="128" customFormat="1" ht="25" hidden="1">
      <c r="A881" s="655">
        <v>54076</v>
      </c>
      <c r="B881" s="656" t="s">
        <v>54</v>
      </c>
      <c r="C881" s="655" t="s">
        <v>2793</v>
      </c>
      <c r="D881" s="656" t="s">
        <v>943</v>
      </c>
      <c r="E881" s="656" t="s">
        <v>944</v>
      </c>
      <c r="F881" s="655">
        <v>9261</v>
      </c>
      <c r="G881" s="656" t="s">
        <v>57</v>
      </c>
      <c r="H881" s="656" t="s">
        <v>1182</v>
      </c>
      <c r="I881" s="656" t="s">
        <v>58</v>
      </c>
      <c r="J881" s="655">
        <v>22</v>
      </c>
      <c r="K881" s="655">
        <v>3</v>
      </c>
      <c r="L881" s="656" t="s">
        <v>55</v>
      </c>
      <c r="M881" s="656" t="s">
        <v>41</v>
      </c>
      <c r="N881" s="656" t="s">
        <v>46</v>
      </c>
      <c r="O881" s="656" t="s">
        <v>46</v>
      </c>
      <c r="P881" s="656" t="s">
        <v>47</v>
      </c>
      <c r="Q881" s="657">
        <v>4</v>
      </c>
      <c r="R881" s="657">
        <v>4</v>
      </c>
      <c r="S881" s="657">
        <v>19</v>
      </c>
      <c r="T881" s="657">
        <v>19</v>
      </c>
      <c r="U881" s="657">
        <v>1.399</v>
      </c>
      <c r="V881" s="655">
        <v>2021</v>
      </c>
      <c r="W881" s="659"/>
      <c r="X881" s="660">
        <f t="shared" si="41"/>
        <v>13.581129378127233</v>
      </c>
      <c r="Y881" s="661" t="str">
        <f t="shared" si="39"/>
        <v/>
      </c>
      <c r="Z881" s="661" t="str">
        <f t="shared" si="40"/>
        <v/>
      </c>
    </row>
    <row r="882" spans="1:26" s="128" customFormat="1" ht="25" hidden="1">
      <c r="A882" s="655">
        <v>54076</v>
      </c>
      <c r="B882" s="656" t="s">
        <v>54</v>
      </c>
      <c r="C882" s="655" t="s">
        <v>2793</v>
      </c>
      <c r="D882" s="656" t="s">
        <v>943</v>
      </c>
      <c r="E882" s="656" t="s">
        <v>944</v>
      </c>
      <c r="F882" s="655">
        <v>9261</v>
      </c>
      <c r="G882" s="656" t="s">
        <v>57</v>
      </c>
      <c r="H882" s="656" t="s">
        <v>1182</v>
      </c>
      <c r="I882" s="656" t="s">
        <v>58</v>
      </c>
      <c r="J882" s="655">
        <v>22</v>
      </c>
      <c r="K882" s="655">
        <v>3</v>
      </c>
      <c r="L882" s="656" t="s">
        <v>55</v>
      </c>
      <c r="M882" s="656" t="s">
        <v>41</v>
      </c>
      <c r="N882" s="656" t="s">
        <v>39</v>
      </c>
      <c r="O882" s="656" t="s">
        <v>39</v>
      </c>
      <c r="P882" s="656" t="s">
        <v>1037</v>
      </c>
      <c r="Q882" s="657">
        <v>340242</v>
      </c>
      <c r="R882" s="657">
        <v>336878</v>
      </c>
      <c r="S882" s="657">
        <v>360377</v>
      </c>
      <c r="T882" s="657">
        <v>356793</v>
      </c>
      <c r="U882" s="657">
        <v>28566.600999999999</v>
      </c>
      <c r="V882" s="655">
        <v>2021</v>
      </c>
      <c r="W882" s="659"/>
      <c r="X882" s="660">
        <f t="shared" si="41"/>
        <v>12.48986535009888</v>
      </c>
      <c r="Y882" s="661" t="str">
        <f t="shared" si="39"/>
        <v/>
      </c>
      <c r="Z882" s="661" t="str">
        <f t="shared" si="40"/>
        <v/>
      </c>
    </row>
    <row r="883" spans="1:26" s="128" customFormat="1" hidden="1">
      <c r="A883" s="655">
        <v>54085</v>
      </c>
      <c r="B883" s="656" t="s">
        <v>54</v>
      </c>
      <c r="C883" s="655" t="s">
        <v>2793</v>
      </c>
      <c r="D883" s="656" t="s">
        <v>428</v>
      </c>
      <c r="E883" s="656" t="s">
        <v>3116</v>
      </c>
      <c r="F883" s="655">
        <v>55738</v>
      </c>
      <c r="G883" s="656" t="s">
        <v>90</v>
      </c>
      <c r="H883" s="656" t="s">
        <v>1183</v>
      </c>
      <c r="I883" s="656" t="s">
        <v>58</v>
      </c>
      <c r="J883" s="655">
        <v>322</v>
      </c>
      <c r="K883" s="655">
        <v>7</v>
      </c>
      <c r="L883" s="656" t="s">
        <v>409</v>
      </c>
      <c r="M883" s="656" t="s">
        <v>42</v>
      </c>
      <c r="N883" s="656" t="s">
        <v>154</v>
      </c>
      <c r="O883" s="656" t="s">
        <v>70</v>
      </c>
      <c r="P883" s="656" t="s">
        <v>45</v>
      </c>
      <c r="Q883" s="657">
        <v>0</v>
      </c>
      <c r="R883" s="657">
        <v>0</v>
      </c>
      <c r="S883" s="657">
        <v>0</v>
      </c>
      <c r="T883" s="657">
        <v>0</v>
      </c>
      <c r="U883" s="657">
        <v>36844.451000000001</v>
      </c>
      <c r="V883" s="655">
        <v>2021</v>
      </c>
      <c r="W883" s="659"/>
      <c r="X883" s="660" t="str">
        <f t="shared" si="41"/>
        <v/>
      </c>
      <c r="Y883" s="661" t="str">
        <f t="shared" si="39"/>
        <v/>
      </c>
      <c r="Z883" s="661" t="str">
        <f t="shared" si="40"/>
        <v/>
      </c>
    </row>
    <row r="884" spans="1:26" s="128" customFormat="1" hidden="1">
      <c r="A884" s="655">
        <v>54085</v>
      </c>
      <c r="B884" s="656" t="s">
        <v>54</v>
      </c>
      <c r="C884" s="655" t="s">
        <v>2793</v>
      </c>
      <c r="D884" s="656" t="s">
        <v>428</v>
      </c>
      <c r="E884" s="656" t="s">
        <v>3116</v>
      </c>
      <c r="F884" s="655">
        <v>55738</v>
      </c>
      <c r="G884" s="656" t="s">
        <v>90</v>
      </c>
      <c r="H884" s="656" t="s">
        <v>1183</v>
      </c>
      <c r="I884" s="656" t="s">
        <v>58</v>
      </c>
      <c r="J884" s="655">
        <v>322</v>
      </c>
      <c r="K884" s="655">
        <v>7</v>
      </c>
      <c r="L884" s="656" t="s">
        <v>409</v>
      </c>
      <c r="M884" s="656" t="s">
        <v>42</v>
      </c>
      <c r="N884" s="656" t="s">
        <v>76</v>
      </c>
      <c r="O884" s="656" t="s">
        <v>67</v>
      </c>
      <c r="P884" s="656" t="s">
        <v>47</v>
      </c>
      <c r="Q884" s="657">
        <v>0</v>
      </c>
      <c r="R884" s="657">
        <v>0</v>
      </c>
      <c r="S884" s="657">
        <v>0</v>
      </c>
      <c r="T884" s="657">
        <v>0</v>
      </c>
      <c r="U884" s="657">
        <v>0</v>
      </c>
      <c r="V884" s="655">
        <v>2021</v>
      </c>
      <c r="W884" s="659"/>
      <c r="X884" s="660" t="str">
        <f t="shared" si="41"/>
        <v/>
      </c>
      <c r="Y884" s="661" t="str">
        <f t="shared" si="39"/>
        <v/>
      </c>
      <c r="Z884" s="661" t="str">
        <f t="shared" si="40"/>
        <v/>
      </c>
    </row>
    <row r="885" spans="1:26" s="128" customFormat="1" hidden="1">
      <c r="A885" s="655">
        <v>54085</v>
      </c>
      <c r="B885" s="656" t="s">
        <v>54</v>
      </c>
      <c r="C885" s="655" t="s">
        <v>2793</v>
      </c>
      <c r="D885" s="656" t="s">
        <v>428</v>
      </c>
      <c r="E885" s="656" t="s">
        <v>3116</v>
      </c>
      <c r="F885" s="655">
        <v>55738</v>
      </c>
      <c r="G885" s="656" t="s">
        <v>90</v>
      </c>
      <c r="H885" s="656" t="s">
        <v>1183</v>
      </c>
      <c r="I885" s="656" t="s">
        <v>58</v>
      </c>
      <c r="J885" s="655">
        <v>322</v>
      </c>
      <c r="K885" s="655">
        <v>7</v>
      </c>
      <c r="L885" s="656" t="s">
        <v>409</v>
      </c>
      <c r="M885" s="656" t="s">
        <v>42</v>
      </c>
      <c r="N885" s="656" t="s">
        <v>39</v>
      </c>
      <c r="O885" s="656" t="s">
        <v>39</v>
      </c>
      <c r="P885" s="656" t="s">
        <v>1037</v>
      </c>
      <c r="Q885" s="657">
        <v>193944</v>
      </c>
      <c r="R885" s="657">
        <v>153455</v>
      </c>
      <c r="S885" s="657">
        <v>193944</v>
      </c>
      <c r="T885" s="657">
        <v>153455</v>
      </c>
      <c r="U885" s="657">
        <v>50327.419000000002</v>
      </c>
      <c r="V885" s="655">
        <v>2021</v>
      </c>
      <c r="W885" s="659"/>
      <c r="X885" s="660" t="str">
        <f t="shared" si="41"/>
        <v/>
      </c>
      <c r="Y885" s="661" t="str">
        <f t="shared" si="39"/>
        <v/>
      </c>
      <c r="Z885" s="661" t="str">
        <f t="shared" si="40"/>
        <v/>
      </c>
    </row>
    <row r="886" spans="1:26" s="128" customFormat="1" hidden="1">
      <c r="A886" s="655">
        <v>54085</v>
      </c>
      <c r="B886" s="656" t="s">
        <v>54</v>
      </c>
      <c r="C886" s="655" t="s">
        <v>2793</v>
      </c>
      <c r="D886" s="656" t="s">
        <v>428</v>
      </c>
      <c r="E886" s="656" t="s">
        <v>3116</v>
      </c>
      <c r="F886" s="655">
        <v>55738</v>
      </c>
      <c r="G886" s="656" t="s">
        <v>90</v>
      </c>
      <c r="H886" s="656" t="s">
        <v>1183</v>
      </c>
      <c r="I886" s="656" t="s">
        <v>58</v>
      </c>
      <c r="J886" s="655">
        <v>322</v>
      </c>
      <c r="K886" s="655">
        <v>7</v>
      </c>
      <c r="L886" s="656" t="s">
        <v>409</v>
      </c>
      <c r="M886" s="656" t="s">
        <v>42</v>
      </c>
      <c r="N886" s="656" t="s">
        <v>61</v>
      </c>
      <c r="O886" s="656" t="s">
        <v>61</v>
      </c>
      <c r="P886" s="656" t="s">
        <v>47</v>
      </c>
      <c r="Q886" s="657">
        <v>0</v>
      </c>
      <c r="R886" s="657">
        <v>0</v>
      </c>
      <c r="S886" s="657">
        <v>0</v>
      </c>
      <c r="T886" s="657">
        <v>0</v>
      </c>
      <c r="U886" s="657">
        <v>0</v>
      </c>
      <c r="V886" s="655">
        <v>2021</v>
      </c>
      <c r="W886" s="659"/>
      <c r="X886" s="660" t="str">
        <f t="shared" si="41"/>
        <v/>
      </c>
      <c r="Y886" s="661" t="str">
        <f t="shared" si="39"/>
        <v/>
      </c>
      <c r="Z886" s="661" t="str">
        <f t="shared" si="40"/>
        <v/>
      </c>
    </row>
    <row r="887" spans="1:26" s="128" customFormat="1" hidden="1">
      <c r="A887" s="655">
        <v>54085</v>
      </c>
      <c r="B887" s="656" t="s">
        <v>54</v>
      </c>
      <c r="C887" s="655" t="s">
        <v>2793</v>
      </c>
      <c r="D887" s="656" t="s">
        <v>428</v>
      </c>
      <c r="E887" s="656" t="s">
        <v>3116</v>
      </c>
      <c r="F887" s="655">
        <v>55738</v>
      </c>
      <c r="G887" s="656" t="s">
        <v>90</v>
      </c>
      <c r="H887" s="656" t="s">
        <v>1183</v>
      </c>
      <c r="I887" s="656" t="s">
        <v>58</v>
      </c>
      <c r="J887" s="655">
        <v>322</v>
      </c>
      <c r="K887" s="655">
        <v>7</v>
      </c>
      <c r="L887" s="656" t="s">
        <v>409</v>
      </c>
      <c r="M887" s="656" t="s">
        <v>42</v>
      </c>
      <c r="N887" s="656" t="s">
        <v>69</v>
      </c>
      <c r="O887" s="656" t="s">
        <v>70</v>
      </c>
      <c r="P887" s="656" t="s">
        <v>45</v>
      </c>
      <c r="Q887" s="657">
        <v>0</v>
      </c>
      <c r="R887" s="657">
        <v>0</v>
      </c>
      <c r="S887" s="657">
        <v>0</v>
      </c>
      <c r="T887" s="657">
        <v>0</v>
      </c>
      <c r="U887" s="657">
        <v>11393.13</v>
      </c>
      <c r="V887" s="655">
        <v>2021</v>
      </c>
      <c r="W887" s="659"/>
      <c r="X887" s="660" t="str">
        <f t="shared" si="41"/>
        <v/>
      </c>
      <c r="Y887" s="661" t="str">
        <f t="shared" si="39"/>
        <v/>
      </c>
      <c r="Z887" s="661" t="str">
        <f t="shared" si="40"/>
        <v/>
      </c>
    </row>
    <row r="888" spans="1:26" s="128" customFormat="1" hidden="1">
      <c r="A888" s="655">
        <v>54099</v>
      </c>
      <c r="B888" s="656" t="s">
        <v>54</v>
      </c>
      <c r="C888" s="655" t="s">
        <v>2793</v>
      </c>
      <c r="D888" s="656" t="s">
        <v>429</v>
      </c>
      <c r="E888" s="656" t="s">
        <v>430</v>
      </c>
      <c r="F888" s="655">
        <v>9350</v>
      </c>
      <c r="G888" s="656" t="s">
        <v>57</v>
      </c>
      <c r="H888" s="656" t="s">
        <v>1182</v>
      </c>
      <c r="I888" s="656" t="s">
        <v>58</v>
      </c>
      <c r="J888" s="655">
        <v>322122</v>
      </c>
      <c r="K888" s="655">
        <v>7</v>
      </c>
      <c r="L888" s="656" t="s">
        <v>409</v>
      </c>
      <c r="M888" s="656" t="s">
        <v>42</v>
      </c>
      <c r="N888" s="656" t="s">
        <v>154</v>
      </c>
      <c r="O888" s="656" t="s">
        <v>70</v>
      </c>
      <c r="P888" s="656" t="s">
        <v>45</v>
      </c>
      <c r="Q888" s="657">
        <v>213221</v>
      </c>
      <c r="R888" s="657">
        <v>51268</v>
      </c>
      <c r="S888" s="657">
        <v>1805228</v>
      </c>
      <c r="T888" s="657">
        <v>434062</v>
      </c>
      <c r="U888" s="657">
        <v>75840.464000000007</v>
      </c>
      <c r="V888" s="655">
        <v>2021</v>
      </c>
      <c r="W888" s="659"/>
      <c r="X888" s="660" t="str">
        <f t="shared" si="41"/>
        <v/>
      </c>
      <c r="Y888" s="661" t="str">
        <f t="shared" si="39"/>
        <v/>
      </c>
      <c r="Z888" s="661" t="str">
        <f t="shared" si="40"/>
        <v/>
      </c>
    </row>
    <row r="889" spans="1:26" s="128" customFormat="1" hidden="1">
      <c r="A889" s="655">
        <v>54099</v>
      </c>
      <c r="B889" s="656" t="s">
        <v>54</v>
      </c>
      <c r="C889" s="655" t="s">
        <v>2793</v>
      </c>
      <c r="D889" s="656" t="s">
        <v>429</v>
      </c>
      <c r="E889" s="656" t="s">
        <v>430</v>
      </c>
      <c r="F889" s="655">
        <v>9350</v>
      </c>
      <c r="G889" s="656" t="s">
        <v>57</v>
      </c>
      <c r="H889" s="656" t="s">
        <v>1182</v>
      </c>
      <c r="I889" s="656" t="s">
        <v>58</v>
      </c>
      <c r="J889" s="655">
        <v>322122</v>
      </c>
      <c r="K889" s="655">
        <v>7</v>
      </c>
      <c r="L889" s="656" t="s">
        <v>409</v>
      </c>
      <c r="M889" s="656" t="s">
        <v>42</v>
      </c>
      <c r="N889" s="656" t="s">
        <v>39</v>
      </c>
      <c r="O889" s="656" t="s">
        <v>39</v>
      </c>
      <c r="P889" s="656" t="s">
        <v>1037</v>
      </c>
      <c r="Q889" s="657">
        <v>2596773</v>
      </c>
      <c r="R889" s="657">
        <v>624891</v>
      </c>
      <c r="S889" s="657">
        <v>2596773</v>
      </c>
      <c r="T889" s="657">
        <v>624891</v>
      </c>
      <c r="U889" s="657">
        <v>109182.82</v>
      </c>
      <c r="V889" s="655">
        <v>2021</v>
      </c>
      <c r="W889" s="659"/>
      <c r="X889" s="660" t="str">
        <f t="shared" si="41"/>
        <v/>
      </c>
      <c r="Y889" s="661" t="str">
        <f t="shared" si="39"/>
        <v/>
      </c>
      <c r="Z889" s="661" t="str">
        <f t="shared" si="40"/>
        <v/>
      </c>
    </row>
    <row r="890" spans="1:26" s="128" customFormat="1" hidden="1">
      <c r="A890" s="655">
        <v>54099</v>
      </c>
      <c r="B890" s="656" t="s">
        <v>54</v>
      </c>
      <c r="C890" s="655" t="s">
        <v>2793</v>
      </c>
      <c r="D890" s="656" t="s">
        <v>429</v>
      </c>
      <c r="E890" s="656" t="s">
        <v>430</v>
      </c>
      <c r="F890" s="655">
        <v>9350</v>
      </c>
      <c r="G890" s="656" t="s">
        <v>57</v>
      </c>
      <c r="H890" s="656" t="s">
        <v>1182</v>
      </c>
      <c r="I890" s="656" t="s">
        <v>58</v>
      </c>
      <c r="J890" s="655">
        <v>322122</v>
      </c>
      <c r="K890" s="655">
        <v>7</v>
      </c>
      <c r="L890" s="656" t="s">
        <v>409</v>
      </c>
      <c r="M890" s="656" t="s">
        <v>42</v>
      </c>
      <c r="N890" s="656" t="s">
        <v>1691</v>
      </c>
      <c r="O890" s="656" t="s">
        <v>427</v>
      </c>
      <c r="P890" s="656" t="s">
        <v>1037</v>
      </c>
      <c r="Q890" s="657">
        <v>0</v>
      </c>
      <c r="R890" s="657">
        <v>0</v>
      </c>
      <c r="S890" s="657">
        <v>0</v>
      </c>
      <c r="T890" s="657">
        <v>0</v>
      </c>
      <c r="U890" s="657">
        <v>0</v>
      </c>
      <c r="V890" s="655">
        <v>2021</v>
      </c>
      <c r="W890" s="659"/>
      <c r="X890" s="660" t="str">
        <f t="shared" si="41"/>
        <v/>
      </c>
      <c r="Y890" s="661" t="str">
        <f t="shared" si="39"/>
        <v/>
      </c>
      <c r="Z890" s="661" t="str">
        <f t="shared" si="40"/>
        <v/>
      </c>
    </row>
    <row r="891" spans="1:26" s="128" customFormat="1" hidden="1">
      <c r="A891" s="655">
        <v>54099</v>
      </c>
      <c r="B891" s="656" t="s">
        <v>54</v>
      </c>
      <c r="C891" s="655" t="s">
        <v>2793</v>
      </c>
      <c r="D891" s="656" t="s">
        <v>429</v>
      </c>
      <c r="E891" s="656" t="s">
        <v>430</v>
      </c>
      <c r="F891" s="655">
        <v>9350</v>
      </c>
      <c r="G891" s="656" t="s">
        <v>57</v>
      </c>
      <c r="H891" s="656" t="s">
        <v>1182</v>
      </c>
      <c r="I891" s="656" t="s">
        <v>58</v>
      </c>
      <c r="J891" s="655">
        <v>322122</v>
      </c>
      <c r="K891" s="655">
        <v>7</v>
      </c>
      <c r="L891" s="656" t="s">
        <v>409</v>
      </c>
      <c r="M891" s="656" t="s">
        <v>42</v>
      </c>
      <c r="N891" s="656" t="s">
        <v>426</v>
      </c>
      <c r="O891" s="656" t="s">
        <v>67</v>
      </c>
      <c r="P891" s="656" t="s">
        <v>1037</v>
      </c>
      <c r="Q891" s="657">
        <v>0</v>
      </c>
      <c r="R891" s="657">
        <v>0</v>
      </c>
      <c r="S891" s="657">
        <v>0</v>
      </c>
      <c r="T891" s="657">
        <v>0</v>
      </c>
      <c r="U891" s="657">
        <v>0</v>
      </c>
      <c r="V891" s="655">
        <v>2021</v>
      </c>
      <c r="W891" s="659"/>
      <c r="X891" s="660" t="str">
        <f t="shared" si="41"/>
        <v/>
      </c>
      <c r="Y891" s="661" t="str">
        <f t="shared" si="39"/>
        <v/>
      </c>
      <c r="Z891" s="661" t="str">
        <f t="shared" si="40"/>
        <v/>
      </c>
    </row>
    <row r="892" spans="1:26" s="128" customFormat="1" hidden="1">
      <c r="A892" s="655">
        <v>54099</v>
      </c>
      <c r="B892" s="656" t="s">
        <v>54</v>
      </c>
      <c r="C892" s="655" t="s">
        <v>2793</v>
      </c>
      <c r="D892" s="656" t="s">
        <v>429</v>
      </c>
      <c r="E892" s="656" t="s">
        <v>430</v>
      </c>
      <c r="F892" s="655">
        <v>9350</v>
      </c>
      <c r="G892" s="656" t="s">
        <v>57</v>
      </c>
      <c r="H892" s="656" t="s">
        <v>1182</v>
      </c>
      <c r="I892" s="656" t="s">
        <v>58</v>
      </c>
      <c r="J892" s="655">
        <v>322122</v>
      </c>
      <c r="K892" s="655">
        <v>7</v>
      </c>
      <c r="L892" s="656" t="s">
        <v>409</v>
      </c>
      <c r="M892" s="656" t="s">
        <v>42</v>
      </c>
      <c r="N892" s="656" t="s">
        <v>61</v>
      </c>
      <c r="O892" s="656" t="s">
        <v>61</v>
      </c>
      <c r="P892" s="656" t="s">
        <v>47</v>
      </c>
      <c r="Q892" s="657">
        <v>28371</v>
      </c>
      <c r="R892" s="657">
        <v>6881</v>
      </c>
      <c r="S892" s="657">
        <v>179873</v>
      </c>
      <c r="T892" s="657">
        <v>43626</v>
      </c>
      <c r="U892" s="657">
        <v>7622.3890000000001</v>
      </c>
      <c r="V892" s="655">
        <v>2021</v>
      </c>
      <c r="W892" s="659"/>
      <c r="X892" s="660" t="str">
        <f t="shared" si="41"/>
        <v/>
      </c>
      <c r="Y892" s="661" t="str">
        <f t="shared" si="39"/>
        <v/>
      </c>
      <c r="Z892" s="661" t="str">
        <f t="shared" si="40"/>
        <v/>
      </c>
    </row>
    <row r="893" spans="1:26" s="128" customFormat="1" hidden="1">
      <c r="A893" s="655">
        <v>54099</v>
      </c>
      <c r="B893" s="656" t="s">
        <v>54</v>
      </c>
      <c r="C893" s="655" t="s">
        <v>2793</v>
      </c>
      <c r="D893" s="656" t="s">
        <v>429</v>
      </c>
      <c r="E893" s="656" t="s">
        <v>430</v>
      </c>
      <c r="F893" s="655">
        <v>9350</v>
      </c>
      <c r="G893" s="656" t="s">
        <v>57</v>
      </c>
      <c r="H893" s="656" t="s">
        <v>1182</v>
      </c>
      <c r="I893" s="656" t="s">
        <v>58</v>
      </c>
      <c r="J893" s="655">
        <v>322122</v>
      </c>
      <c r="K893" s="655">
        <v>7</v>
      </c>
      <c r="L893" s="656" t="s">
        <v>409</v>
      </c>
      <c r="M893" s="656" t="s">
        <v>42</v>
      </c>
      <c r="N893" s="656" t="s">
        <v>69</v>
      </c>
      <c r="O893" s="656" t="s">
        <v>70</v>
      </c>
      <c r="P893" s="656" t="s">
        <v>45</v>
      </c>
      <c r="Q893" s="657">
        <v>17941</v>
      </c>
      <c r="R893" s="657">
        <v>4330</v>
      </c>
      <c r="S893" s="657">
        <v>151890</v>
      </c>
      <c r="T893" s="657">
        <v>36651</v>
      </c>
      <c r="U893" s="657">
        <v>6403.7049999999999</v>
      </c>
      <c r="V893" s="655">
        <v>2021</v>
      </c>
      <c r="W893" s="659"/>
      <c r="X893" s="660" t="str">
        <f t="shared" si="41"/>
        <v/>
      </c>
      <c r="Y893" s="661" t="str">
        <f t="shared" si="39"/>
        <v/>
      </c>
      <c r="Z893" s="661" t="str">
        <f t="shared" si="40"/>
        <v/>
      </c>
    </row>
    <row r="894" spans="1:26" s="128" customFormat="1" ht="25" hidden="1">
      <c r="A894" s="655">
        <v>54114</v>
      </c>
      <c r="B894" s="656" t="s">
        <v>54</v>
      </c>
      <c r="C894" s="655" t="s">
        <v>2793</v>
      </c>
      <c r="D894" s="656" t="s">
        <v>945</v>
      </c>
      <c r="E894" s="656" t="s">
        <v>946</v>
      </c>
      <c r="F894" s="655">
        <v>10349</v>
      </c>
      <c r="G894" s="656" t="s">
        <v>57</v>
      </c>
      <c r="H894" s="656" t="s">
        <v>1182</v>
      </c>
      <c r="I894" s="656" t="s">
        <v>58</v>
      </c>
      <c r="J894" s="655">
        <v>22</v>
      </c>
      <c r="K894" s="655">
        <v>3</v>
      </c>
      <c r="L894" s="656" t="s">
        <v>55</v>
      </c>
      <c r="M894" s="656" t="s">
        <v>38</v>
      </c>
      <c r="N894" s="656" t="s">
        <v>46</v>
      </c>
      <c r="O894" s="656" t="s">
        <v>46</v>
      </c>
      <c r="P894" s="656" t="s">
        <v>47</v>
      </c>
      <c r="Q894" s="657">
        <v>0</v>
      </c>
      <c r="R894" s="657">
        <v>0</v>
      </c>
      <c r="S894" s="657">
        <v>0</v>
      </c>
      <c r="T894" s="657">
        <v>0</v>
      </c>
      <c r="U894" s="657">
        <v>0</v>
      </c>
      <c r="V894" s="655">
        <v>2021</v>
      </c>
      <c r="W894" s="659"/>
      <c r="X894" s="660" t="str">
        <f t="shared" si="41"/>
        <v/>
      </c>
      <c r="Y894" s="661" t="str">
        <f t="shared" si="39"/>
        <v/>
      </c>
      <c r="Z894" s="661" t="str">
        <f t="shared" si="40"/>
        <v/>
      </c>
    </row>
    <row r="895" spans="1:26" s="128" customFormat="1" ht="25" hidden="1">
      <c r="A895" s="655">
        <v>54114</v>
      </c>
      <c r="B895" s="656" t="s">
        <v>54</v>
      </c>
      <c r="C895" s="655" t="s">
        <v>2793</v>
      </c>
      <c r="D895" s="656" t="s">
        <v>945</v>
      </c>
      <c r="E895" s="656" t="s">
        <v>946</v>
      </c>
      <c r="F895" s="655">
        <v>10349</v>
      </c>
      <c r="G895" s="656" t="s">
        <v>57</v>
      </c>
      <c r="H895" s="656" t="s">
        <v>1182</v>
      </c>
      <c r="I895" s="656" t="s">
        <v>58</v>
      </c>
      <c r="J895" s="655">
        <v>22</v>
      </c>
      <c r="K895" s="655">
        <v>3</v>
      </c>
      <c r="L895" s="656" t="s">
        <v>55</v>
      </c>
      <c r="M895" s="656" t="s">
        <v>38</v>
      </c>
      <c r="N895" s="656" t="s">
        <v>39</v>
      </c>
      <c r="O895" s="656" t="s">
        <v>39</v>
      </c>
      <c r="P895" s="656" t="s">
        <v>1037</v>
      </c>
      <c r="Q895" s="657">
        <v>0</v>
      </c>
      <c r="R895" s="657">
        <v>0</v>
      </c>
      <c r="S895" s="657">
        <v>0</v>
      </c>
      <c r="T895" s="657">
        <v>0</v>
      </c>
      <c r="U895" s="657">
        <v>79251</v>
      </c>
      <c r="V895" s="655">
        <v>2021</v>
      </c>
      <c r="W895" s="659"/>
      <c r="X895" s="660" t="str">
        <f t="shared" si="41"/>
        <v/>
      </c>
      <c r="Y895" s="661" t="str">
        <f t="shared" si="39"/>
        <v/>
      </c>
      <c r="Z895" s="661" t="str">
        <f t="shared" si="40"/>
        <v/>
      </c>
    </row>
    <row r="896" spans="1:26" s="128" customFormat="1" ht="25" hidden="1">
      <c r="A896" s="655">
        <v>54114</v>
      </c>
      <c r="B896" s="656" t="s">
        <v>54</v>
      </c>
      <c r="C896" s="655" t="s">
        <v>2793</v>
      </c>
      <c r="D896" s="656" t="s">
        <v>945</v>
      </c>
      <c r="E896" s="656" t="s">
        <v>946</v>
      </c>
      <c r="F896" s="655">
        <v>10349</v>
      </c>
      <c r="G896" s="656" t="s">
        <v>57</v>
      </c>
      <c r="H896" s="656" t="s">
        <v>1182</v>
      </c>
      <c r="I896" s="656" t="s">
        <v>58</v>
      </c>
      <c r="J896" s="655">
        <v>22</v>
      </c>
      <c r="K896" s="655">
        <v>3</v>
      </c>
      <c r="L896" s="656" t="s">
        <v>55</v>
      </c>
      <c r="M896" s="656" t="s">
        <v>41</v>
      </c>
      <c r="N896" s="656" t="s">
        <v>46</v>
      </c>
      <c r="O896" s="656" t="s">
        <v>46</v>
      </c>
      <c r="P896" s="656" t="s">
        <v>47</v>
      </c>
      <c r="Q896" s="657">
        <v>0</v>
      </c>
      <c r="R896" s="657">
        <v>0</v>
      </c>
      <c r="S896" s="657">
        <v>0</v>
      </c>
      <c r="T896" s="657">
        <v>0</v>
      </c>
      <c r="U896" s="657">
        <v>0</v>
      </c>
      <c r="V896" s="655">
        <v>2021</v>
      </c>
      <c r="W896" s="659"/>
      <c r="X896" s="660" t="str">
        <f t="shared" si="41"/>
        <v/>
      </c>
      <c r="Y896" s="661" t="str">
        <f t="shared" si="39"/>
        <v/>
      </c>
      <c r="Z896" s="661" t="str">
        <f t="shared" si="40"/>
        <v/>
      </c>
    </row>
    <row r="897" spans="1:26" s="128" customFormat="1" ht="25" hidden="1">
      <c r="A897" s="655">
        <v>54114</v>
      </c>
      <c r="B897" s="656" t="s">
        <v>54</v>
      </c>
      <c r="C897" s="655" t="s">
        <v>2793</v>
      </c>
      <c r="D897" s="656" t="s">
        <v>945</v>
      </c>
      <c r="E897" s="656" t="s">
        <v>946</v>
      </c>
      <c r="F897" s="655">
        <v>10349</v>
      </c>
      <c r="G897" s="656" t="s">
        <v>57</v>
      </c>
      <c r="H897" s="656" t="s">
        <v>1182</v>
      </c>
      <c r="I897" s="656" t="s">
        <v>58</v>
      </c>
      <c r="J897" s="655">
        <v>22</v>
      </c>
      <c r="K897" s="655">
        <v>3</v>
      </c>
      <c r="L897" s="656" t="s">
        <v>55</v>
      </c>
      <c r="M897" s="656" t="s">
        <v>41</v>
      </c>
      <c r="N897" s="656" t="s">
        <v>39</v>
      </c>
      <c r="O897" s="656" t="s">
        <v>39</v>
      </c>
      <c r="P897" s="656" t="s">
        <v>1037</v>
      </c>
      <c r="Q897" s="657">
        <v>4265791</v>
      </c>
      <c r="R897" s="657">
        <v>4217824</v>
      </c>
      <c r="S897" s="657">
        <v>4430022</v>
      </c>
      <c r="T897" s="657">
        <v>4380280</v>
      </c>
      <c r="U897" s="657">
        <v>390961</v>
      </c>
      <c r="V897" s="655">
        <v>2021</v>
      </c>
      <c r="W897" s="659"/>
      <c r="X897" s="660">
        <f t="shared" si="41"/>
        <v>11.20387967086231</v>
      </c>
      <c r="Y897" s="661" t="str">
        <f t="shared" si="39"/>
        <v/>
      </c>
      <c r="Z897" s="661" t="str">
        <f t="shared" si="40"/>
        <v/>
      </c>
    </row>
    <row r="898" spans="1:26" s="128" customFormat="1" ht="25" hidden="1">
      <c r="A898" s="655">
        <v>54123</v>
      </c>
      <c r="B898" s="656" t="s">
        <v>33</v>
      </c>
      <c r="C898" s="655" t="s">
        <v>2793</v>
      </c>
      <c r="D898" s="656" t="s">
        <v>947</v>
      </c>
      <c r="E898" s="656" t="s">
        <v>1061</v>
      </c>
      <c r="F898" s="655">
        <v>56839</v>
      </c>
      <c r="G898" s="656" t="s">
        <v>90</v>
      </c>
      <c r="H898" s="656" t="s">
        <v>1183</v>
      </c>
      <c r="I898" s="656" t="s">
        <v>58</v>
      </c>
      <c r="J898" s="655">
        <v>22</v>
      </c>
      <c r="K898" s="655">
        <v>2</v>
      </c>
      <c r="L898" s="656" t="s">
        <v>52</v>
      </c>
      <c r="M898" s="656" t="s">
        <v>35</v>
      </c>
      <c r="N898" s="656" t="s">
        <v>36</v>
      </c>
      <c r="O898" s="656" t="s">
        <v>37</v>
      </c>
      <c r="P898" s="656" t="s">
        <v>1176</v>
      </c>
      <c r="Q898" s="657">
        <v>0</v>
      </c>
      <c r="R898" s="657">
        <v>0</v>
      </c>
      <c r="S898" s="657">
        <v>14726</v>
      </c>
      <c r="T898" s="657">
        <v>14726</v>
      </c>
      <c r="U898" s="657">
        <v>1665</v>
      </c>
      <c r="V898" s="655">
        <v>2021</v>
      </c>
      <c r="W898" s="659"/>
      <c r="X898" s="660">
        <f t="shared" si="41"/>
        <v>8.844444444444445</v>
      </c>
      <c r="Y898" s="661" t="str">
        <f t="shared" si="39"/>
        <v/>
      </c>
      <c r="Z898" s="661" t="str">
        <f t="shared" si="40"/>
        <v/>
      </c>
    </row>
    <row r="899" spans="1:26" s="128" customFormat="1" ht="25" hidden="1">
      <c r="A899" s="655">
        <v>54124</v>
      </c>
      <c r="B899" s="656" t="s">
        <v>33</v>
      </c>
      <c r="C899" s="655" t="s">
        <v>2793</v>
      </c>
      <c r="D899" s="656" t="s">
        <v>1597</v>
      </c>
      <c r="E899" s="656" t="s">
        <v>1058</v>
      </c>
      <c r="F899" s="655">
        <v>56837</v>
      </c>
      <c r="G899" s="656" t="s">
        <v>90</v>
      </c>
      <c r="H899" s="656" t="s">
        <v>1183</v>
      </c>
      <c r="I899" s="656" t="s">
        <v>58</v>
      </c>
      <c r="J899" s="655">
        <v>22</v>
      </c>
      <c r="K899" s="655">
        <v>2</v>
      </c>
      <c r="L899" s="656" t="s">
        <v>52</v>
      </c>
      <c r="M899" s="656" t="s">
        <v>35</v>
      </c>
      <c r="N899" s="656" t="s">
        <v>36</v>
      </c>
      <c r="O899" s="656" t="s">
        <v>37</v>
      </c>
      <c r="P899" s="656" t="s">
        <v>1176</v>
      </c>
      <c r="Q899" s="657">
        <v>0</v>
      </c>
      <c r="R899" s="657">
        <v>0</v>
      </c>
      <c r="S899" s="657">
        <v>31329</v>
      </c>
      <c r="T899" s="657">
        <v>31329</v>
      </c>
      <c r="U899" s="657">
        <v>3543</v>
      </c>
      <c r="V899" s="655">
        <v>2021</v>
      </c>
      <c r="W899" s="659"/>
      <c r="X899" s="660">
        <f t="shared" si="41"/>
        <v>8.8425063505503818</v>
      </c>
      <c r="Y899" s="661" t="str">
        <f t="shared" si="39"/>
        <v/>
      </c>
      <c r="Z899" s="661" t="str">
        <f t="shared" si="40"/>
        <v/>
      </c>
    </row>
    <row r="900" spans="1:26" s="128" customFormat="1" ht="25" hidden="1">
      <c r="A900" s="655">
        <v>54131</v>
      </c>
      <c r="B900" s="656" t="s">
        <v>54</v>
      </c>
      <c r="C900" s="655" t="s">
        <v>2793</v>
      </c>
      <c r="D900" s="656" t="s">
        <v>948</v>
      </c>
      <c r="E900" s="656" t="s">
        <v>949</v>
      </c>
      <c r="F900" s="655">
        <v>50136</v>
      </c>
      <c r="G900" s="656" t="s">
        <v>57</v>
      </c>
      <c r="H900" s="656" t="s">
        <v>1182</v>
      </c>
      <c r="I900" s="656" t="s">
        <v>58</v>
      </c>
      <c r="J900" s="655">
        <v>22</v>
      </c>
      <c r="K900" s="655">
        <v>3</v>
      </c>
      <c r="L900" s="656" t="s">
        <v>55</v>
      </c>
      <c r="M900" s="656" t="s">
        <v>38</v>
      </c>
      <c r="N900" s="656" t="s">
        <v>46</v>
      </c>
      <c r="O900" s="656" t="s">
        <v>46</v>
      </c>
      <c r="P900" s="656" t="s">
        <v>47</v>
      </c>
      <c r="Q900" s="657">
        <v>0</v>
      </c>
      <c r="R900" s="657">
        <v>0</v>
      </c>
      <c r="S900" s="657">
        <v>0</v>
      </c>
      <c r="T900" s="657">
        <v>0</v>
      </c>
      <c r="U900" s="657">
        <v>0</v>
      </c>
      <c r="V900" s="655">
        <v>2021</v>
      </c>
      <c r="W900" s="659"/>
      <c r="X900" s="660" t="str">
        <f t="shared" si="41"/>
        <v/>
      </c>
      <c r="Y900" s="661" t="str">
        <f t="shared" si="39"/>
        <v/>
      </c>
      <c r="Z900" s="661" t="str">
        <f t="shared" si="40"/>
        <v/>
      </c>
    </row>
    <row r="901" spans="1:26" s="128" customFormat="1" ht="25" hidden="1">
      <c r="A901" s="655">
        <v>54131</v>
      </c>
      <c r="B901" s="656" t="s">
        <v>54</v>
      </c>
      <c r="C901" s="655" t="s">
        <v>2793</v>
      </c>
      <c r="D901" s="656" t="s">
        <v>948</v>
      </c>
      <c r="E901" s="656" t="s">
        <v>949</v>
      </c>
      <c r="F901" s="655">
        <v>50136</v>
      </c>
      <c r="G901" s="656" t="s">
        <v>57</v>
      </c>
      <c r="H901" s="656" t="s">
        <v>1182</v>
      </c>
      <c r="I901" s="656" t="s">
        <v>58</v>
      </c>
      <c r="J901" s="655">
        <v>22</v>
      </c>
      <c r="K901" s="655">
        <v>3</v>
      </c>
      <c r="L901" s="656" t="s">
        <v>55</v>
      </c>
      <c r="M901" s="656" t="s">
        <v>38</v>
      </c>
      <c r="N901" s="656" t="s">
        <v>39</v>
      </c>
      <c r="O901" s="656" t="s">
        <v>39</v>
      </c>
      <c r="P901" s="656" t="s">
        <v>1037</v>
      </c>
      <c r="Q901" s="657">
        <v>0</v>
      </c>
      <c r="R901" s="657">
        <v>0</v>
      </c>
      <c r="S901" s="657">
        <v>0</v>
      </c>
      <c r="T901" s="657">
        <v>0</v>
      </c>
      <c r="U901" s="657">
        <v>1531</v>
      </c>
      <c r="V901" s="655">
        <v>2021</v>
      </c>
      <c r="W901" s="659"/>
      <c r="X901" s="660" t="str">
        <f t="shared" si="41"/>
        <v/>
      </c>
      <c r="Y901" s="661" t="str">
        <f t="shared" si="39"/>
        <v/>
      </c>
      <c r="Z901" s="661" t="str">
        <f t="shared" si="40"/>
        <v/>
      </c>
    </row>
    <row r="902" spans="1:26" s="128" customFormat="1" ht="25" hidden="1">
      <c r="A902" s="655">
        <v>54131</v>
      </c>
      <c r="B902" s="656" t="s">
        <v>54</v>
      </c>
      <c r="C902" s="655" t="s">
        <v>2793</v>
      </c>
      <c r="D902" s="656" t="s">
        <v>948</v>
      </c>
      <c r="E902" s="656" t="s">
        <v>949</v>
      </c>
      <c r="F902" s="655">
        <v>50136</v>
      </c>
      <c r="G902" s="656" t="s">
        <v>57</v>
      </c>
      <c r="H902" s="656" t="s">
        <v>1182</v>
      </c>
      <c r="I902" s="656" t="s">
        <v>58</v>
      </c>
      <c r="J902" s="655">
        <v>22</v>
      </c>
      <c r="K902" s="655">
        <v>3</v>
      </c>
      <c r="L902" s="656" t="s">
        <v>55</v>
      </c>
      <c r="M902" s="656" t="s">
        <v>41</v>
      </c>
      <c r="N902" s="656" t="s">
        <v>46</v>
      </c>
      <c r="O902" s="656" t="s">
        <v>46</v>
      </c>
      <c r="P902" s="656" t="s">
        <v>47</v>
      </c>
      <c r="Q902" s="657">
        <v>0</v>
      </c>
      <c r="R902" s="657">
        <v>0</v>
      </c>
      <c r="S902" s="657">
        <v>0</v>
      </c>
      <c r="T902" s="657">
        <v>0</v>
      </c>
      <c r="U902" s="657">
        <v>0</v>
      </c>
      <c r="V902" s="655">
        <v>2021</v>
      </c>
      <c r="W902" s="659"/>
      <c r="X902" s="660" t="str">
        <f t="shared" si="41"/>
        <v/>
      </c>
      <c r="Y902" s="661" t="str">
        <f t="shared" si="39"/>
        <v/>
      </c>
      <c r="Z902" s="661" t="str">
        <f t="shared" si="40"/>
        <v/>
      </c>
    </row>
    <row r="903" spans="1:26" s="128" customFormat="1" ht="25" hidden="1">
      <c r="A903" s="655">
        <v>54131</v>
      </c>
      <c r="B903" s="656" t="s">
        <v>54</v>
      </c>
      <c r="C903" s="655" t="s">
        <v>2793</v>
      </c>
      <c r="D903" s="656" t="s">
        <v>948</v>
      </c>
      <c r="E903" s="656" t="s">
        <v>949</v>
      </c>
      <c r="F903" s="655">
        <v>50136</v>
      </c>
      <c r="G903" s="656" t="s">
        <v>57</v>
      </c>
      <c r="H903" s="656" t="s">
        <v>1182</v>
      </c>
      <c r="I903" s="656" t="s">
        <v>58</v>
      </c>
      <c r="J903" s="655">
        <v>22</v>
      </c>
      <c r="K903" s="655">
        <v>3</v>
      </c>
      <c r="L903" s="656" t="s">
        <v>55</v>
      </c>
      <c r="M903" s="656" t="s">
        <v>41</v>
      </c>
      <c r="N903" s="656" t="s">
        <v>39</v>
      </c>
      <c r="O903" s="656" t="s">
        <v>39</v>
      </c>
      <c r="P903" s="656" t="s">
        <v>1037</v>
      </c>
      <c r="Q903" s="657">
        <v>48094</v>
      </c>
      <c r="R903" s="657">
        <v>40411</v>
      </c>
      <c r="S903" s="657">
        <v>48381</v>
      </c>
      <c r="T903" s="657">
        <v>40654</v>
      </c>
      <c r="U903" s="657">
        <v>3662</v>
      </c>
      <c r="V903" s="655">
        <v>2021</v>
      </c>
      <c r="W903" s="659"/>
      <c r="X903" s="660">
        <f t="shared" si="41"/>
        <v>11.101583833970508</v>
      </c>
      <c r="Y903" s="661" t="str">
        <f t="shared" ref="Y903:Y966" si="42">IF(AND($M903=$Y$2,$N903=$Y$3,NOT($Q903=$R903),NOT($U903=0)),IF($K903=5,$S903/($U903+(8/5)*$U903),IF($K903=7,$S903/($U903+(29/25)*$U903),"")),"")</f>
        <v/>
      </c>
      <c r="Z903" s="661" t="str">
        <f t="shared" ref="Z903:Z966" si="43">IF(AND($M903=$Y$2,$N903=$Y$4,NOT($Q903=$R903),NOT($U903=0)),IF($K903=5,$S903/($U903+(8/5)*$U903),IF($K903=7,$S903/($U903+(29/25)*$U903),"")),"")</f>
        <v/>
      </c>
    </row>
    <row r="904" spans="1:26" s="128" customFormat="1" ht="25" hidden="1">
      <c r="A904" s="655">
        <v>54134</v>
      </c>
      <c r="B904" s="656" t="s">
        <v>33</v>
      </c>
      <c r="C904" s="655" t="s">
        <v>2793</v>
      </c>
      <c r="D904" s="656" t="s">
        <v>20</v>
      </c>
      <c r="E904" s="656" t="s">
        <v>21</v>
      </c>
      <c r="F904" s="655">
        <v>7595</v>
      </c>
      <c r="G904" s="656" t="s">
        <v>90</v>
      </c>
      <c r="H904" s="656" t="s">
        <v>1183</v>
      </c>
      <c r="I904" s="656" t="s">
        <v>58</v>
      </c>
      <c r="J904" s="655">
        <v>22</v>
      </c>
      <c r="K904" s="655">
        <v>2</v>
      </c>
      <c r="L904" s="656" t="s">
        <v>52</v>
      </c>
      <c r="M904" s="656" t="s">
        <v>1890</v>
      </c>
      <c r="N904" s="656" t="s">
        <v>1052</v>
      </c>
      <c r="O904" s="656" t="s">
        <v>82</v>
      </c>
      <c r="P904" s="656" t="s">
        <v>2794</v>
      </c>
      <c r="Q904" s="657">
        <v>16189</v>
      </c>
      <c r="R904" s="657">
        <v>16189</v>
      </c>
      <c r="S904" s="657">
        <v>0</v>
      </c>
      <c r="T904" s="657">
        <v>0</v>
      </c>
      <c r="U904" s="657">
        <v>-501</v>
      </c>
      <c r="V904" s="655">
        <v>2021</v>
      </c>
      <c r="W904" s="659"/>
      <c r="X904" s="660" t="str">
        <f t="shared" ref="X904:X967" si="44">IF(OR(K904&gt;3,T904=0,NOT(U904&gt;0)),"",T904/U904)</f>
        <v/>
      </c>
      <c r="Y904" s="661" t="str">
        <f t="shared" si="42"/>
        <v/>
      </c>
      <c r="Z904" s="661" t="str">
        <f t="shared" si="43"/>
        <v/>
      </c>
    </row>
    <row r="905" spans="1:26" s="128" customFormat="1" ht="25" hidden="1">
      <c r="A905" s="655">
        <v>54134</v>
      </c>
      <c r="B905" s="656" t="s">
        <v>33</v>
      </c>
      <c r="C905" s="655" t="s">
        <v>2793</v>
      </c>
      <c r="D905" s="656" t="s">
        <v>20</v>
      </c>
      <c r="E905" s="656" t="s">
        <v>21</v>
      </c>
      <c r="F905" s="655">
        <v>7595</v>
      </c>
      <c r="G905" s="656" t="s">
        <v>90</v>
      </c>
      <c r="H905" s="656" t="s">
        <v>1183</v>
      </c>
      <c r="I905" s="656" t="s">
        <v>58</v>
      </c>
      <c r="J905" s="655">
        <v>22</v>
      </c>
      <c r="K905" s="655">
        <v>2</v>
      </c>
      <c r="L905" s="656" t="s">
        <v>52</v>
      </c>
      <c r="M905" s="656" t="s">
        <v>35</v>
      </c>
      <c r="N905" s="656" t="s">
        <v>36</v>
      </c>
      <c r="O905" s="656" t="s">
        <v>37</v>
      </c>
      <c r="P905" s="656" t="s">
        <v>1176</v>
      </c>
      <c r="Q905" s="657">
        <v>0</v>
      </c>
      <c r="R905" s="657">
        <v>0</v>
      </c>
      <c r="S905" s="657">
        <v>4835989</v>
      </c>
      <c r="T905" s="657">
        <v>4835989</v>
      </c>
      <c r="U905" s="657">
        <v>546872</v>
      </c>
      <c r="V905" s="655">
        <v>2021</v>
      </c>
      <c r="W905" s="659"/>
      <c r="X905" s="660">
        <f t="shared" si="44"/>
        <v>8.8429998244561805</v>
      </c>
      <c r="Y905" s="661" t="str">
        <f t="shared" si="42"/>
        <v/>
      </c>
      <c r="Z905" s="661" t="str">
        <f t="shared" si="43"/>
        <v/>
      </c>
    </row>
    <row r="906" spans="1:26" s="128" customFormat="1" hidden="1">
      <c r="A906" s="655">
        <v>54148</v>
      </c>
      <c r="B906" s="656" t="s">
        <v>33</v>
      </c>
      <c r="C906" s="655" t="s">
        <v>2793</v>
      </c>
      <c r="D906" s="656" t="s">
        <v>950</v>
      </c>
      <c r="E906" s="656" t="s">
        <v>951</v>
      </c>
      <c r="F906" s="655">
        <v>56597</v>
      </c>
      <c r="G906" s="656" t="s">
        <v>90</v>
      </c>
      <c r="H906" s="656" t="s">
        <v>1183</v>
      </c>
      <c r="I906" s="656" t="s">
        <v>58</v>
      </c>
      <c r="J906" s="655">
        <v>22</v>
      </c>
      <c r="K906" s="655">
        <v>2</v>
      </c>
      <c r="L906" s="656" t="s">
        <v>52</v>
      </c>
      <c r="M906" s="656" t="s">
        <v>35</v>
      </c>
      <c r="N906" s="656" t="s">
        <v>36</v>
      </c>
      <c r="O906" s="656" t="s">
        <v>37</v>
      </c>
      <c r="P906" s="656" t="s">
        <v>1176</v>
      </c>
      <c r="Q906" s="657">
        <v>0</v>
      </c>
      <c r="R906" s="657">
        <v>0</v>
      </c>
      <c r="S906" s="657">
        <v>287768</v>
      </c>
      <c r="T906" s="657">
        <v>287768</v>
      </c>
      <c r="U906" s="657">
        <v>32542</v>
      </c>
      <c r="V906" s="655">
        <v>2021</v>
      </c>
      <c r="W906" s="659"/>
      <c r="X906" s="660">
        <f t="shared" si="44"/>
        <v>8.8429721590559893</v>
      </c>
      <c r="Y906" s="661" t="str">
        <f t="shared" si="42"/>
        <v/>
      </c>
      <c r="Z906" s="661" t="str">
        <f t="shared" si="43"/>
        <v/>
      </c>
    </row>
    <row r="907" spans="1:26" s="128" customFormat="1" ht="25" hidden="1">
      <c r="A907" s="655">
        <v>54149</v>
      </c>
      <c r="B907" s="656" t="s">
        <v>54</v>
      </c>
      <c r="C907" s="655" t="s">
        <v>2793</v>
      </c>
      <c r="D907" s="656" t="s">
        <v>952</v>
      </c>
      <c r="E907" s="656" t="s">
        <v>953</v>
      </c>
      <c r="F907" s="655">
        <v>13587</v>
      </c>
      <c r="G907" s="656" t="s">
        <v>57</v>
      </c>
      <c r="H907" s="656" t="s">
        <v>1182</v>
      </c>
      <c r="I907" s="656" t="s">
        <v>58</v>
      </c>
      <c r="J907" s="655">
        <v>22</v>
      </c>
      <c r="K907" s="655">
        <v>3</v>
      </c>
      <c r="L907" s="656" t="s">
        <v>55</v>
      </c>
      <c r="M907" s="656" t="s">
        <v>50</v>
      </c>
      <c r="N907" s="656" t="s">
        <v>46</v>
      </c>
      <c r="O907" s="656" t="s">
        <v>46</v>
      </c>
      <c r="P907" s="656" t="s">
        <v>47</v>
      </c>
      <c r="Q907" s="657">
        <v>1604</v>
      </c>
      <c r="R907" s="657">
        <v>860</v>
      </c>
      <c r="S907" s="657">
        <v>9433</v>
      </c>
      <c r="T907" s="657">
        <v>5045</v>
      </c>
      <c r="U907" s="657">
        <v>912.46400000000006</v>
      </c>
      <c r="V907" s="655">
        <v>2021</v>
      </c>
      <c r="W907" s="659"/>
      <c r="X907" s="660">
        <f t="shared" si="44"/>
        <v>5.5289852531168346</v>
      </c>
      <c r="Y907" s="661" t="str">
        <f t="shared" si="42"/>
        <v/>
      </c>
      <c r="Z907" s="661" t="str">
        <f t="shared" si="43"/>
        <v/>
      </c>
    </row>
    <row r="908" spans="1:26" s="128" customFormat="1" ht="25" hidden="1">
      <c r="A908" s="655">
        <v>54149</v>
      </c>
      <c r="B908" s="656" t="s">
        <v>54</v>
      </c>
      <c r="C908" s="655" t="s">
        <v>2793</v>
      </c>
      <c r="D908" s="656" t="s">
        <v>952</v>
      </c>
      <c r="E908" s="656" t="s">
        <v>953</v>
      </c>
      <c r="F908" s="655">
        <v>13587</v>
      </c>
      <c r="G908" s="656" t="s">
        <v>57</v>
      </c>
      <c r="H908" s="656" t="s">
        <v>1182</v>
      </c>
      <c r="I908" s="656" t="s">
        <v>58</v>
      </c>
      <c r="J908" s="655">
        <v>22</v>
      </c>
      <c r="K908" s="655">
        <v>3</v>
      </c>
      <c r="L908" s="656" t="s">
        <v>55</v>
      </c>
      <c r="M908" s="656" t="s">
        <v>50</v>
      </c>
      <c r="N908" s="656" t="s">
        <v>39</v>
      </c>
      <c r="O908" s="656" t="s">
        <v>39</v>
      </c>
      <c r="P908" s="656" t="s">
        <v>1037</v>
      </c>
      <c r="Q908" s="657">
        <v>2803472</v>
      </c>
      <c r="R908" s="657">
        <v>1499566</v>
      </c>
      <c r="S908" s="657">
        <v>2893185</v>
      </c>
      <c r="T908" s="657">
        <v>1547552</v>
      </c>
      <c r="U908" s="657">
        <v>279904.53999999998</v>
      </c>
      <c r="V908" s="655">
        <v>2021</v>
      </c>
      <c r="W908" s="659"/>
      <c r="X908" s="660">
        <f t="shared" si="44"/>
        <v>5.5288563736765406</v>
      </c>
      <c r="Y908" s="661" t="str">
        <f t="shared" si="42"/>
        <v/>
      </c>
      <c r="Z908" s="661" t="str">
        <f t="shared" si="43"/>
        <v/>
      </c>
    </row>
    <row r="909" spans="1:26" s="128" customFormat="1" hidden="1">
      <c r="A909" s="655">
        <v>54225</v>
      </c>
      <c r="B909" s="656" t="s">
        <v>54</v>
      </c>
      <c r="C909" s="655" t="s">
        <v>2793</v>
      </c>
      <c r="D909" s="656" t="s">
        <v>954</v>
      </c>
      <c r="E909" s="656" t="s">
        <v>955</v>
      </c>
      <c r="F909" s="655">
        <v>7209</v>
      </c>
      <c r="G909" s="656" t="s">
        <v>81</v>
      </c>
      <c r="H909" s="656" t="s">
        <v>1183</v>
      </c>
      <c r="I909" s="656" t="s">
        <v>58</v>
      </c>
      <c r="J909" s="655">
        <v>332</v>
      </c>
      <c r="K909" s="655">
        <v>7</v>
      </c>
      <c r="L909" s="656" t="s">
        <v>409</v>
      </c>
      <c r="M909" s="656" t="s">
        <v>50</v>
      </c>
      <c r="N909" s="656" t="s">
        <v>46</v>
      </c>
      <c r="O909" s="656" t="s">
        <v>46</v>
      </c>
      <c r="P909" s="656" t="s">
        <v>47</v>
      </c>
      <c r="Q909" s="657">
        <v>1</v>
      </c>
      <c r="R909" s="657">
        <v>0</v>
      </c>
      <c r="S909" s="657">
        <v>6</v>
      </c>
      <c r="T909" s="657">
        <v>2</v>
      </c>
      <c r="U909" s="657">
        <v>0.42599999999999999</v>
      </c>
      <c r="V909" s="655">
        <v>2021</v>
      </c>
      <c r="W909" s="659"/>
      <c r="X909" s="660" t="str">
        <f t="shared" si="44"/>
        <v/>
      </c>
      <c r="Y909" s="661" t="str">
        <f t="shared" si="42"/>
        <v/>
      </c>
      <c r="Z909" s="661">
        <f t="shared" si="43"/>
        <v>6.5206051121544091</v>
      </c>
    </row>
    <row r="910" spans="1:26" s="128" customFormat="1" hidden="1">
      <c r="A910" s="655">
        <v>54225</v>
      </c>
      <c r="B910" s="656" t="s">
        <v>54</v>
      </c>
      <c r="C910" s="655" t="s">
        <v>2793</v>
      </c>
      <c r="D910" s="656" t="s">
        <v>954</v>
      </c>
      <c r="E910" s="656" t="s">
        <v>955</v>
      </c>
      <c r="F910" s="655">
        <v>7209</v>
      </c>
      <c r="G910" s="656" t="s">
        <v>81</v>
      </c>
      <c r="H910" s="656" t="s">
        <v>1183</v>
      </c>
      <c r="I910" s="656" t="s">
        <v>58</v>
      </c>
      <c r="J910" s="655">
        <v>332</v>
      </c>
      <c r="K910" s="655">
        <v>7</v>
      </c>
      <c r="L910" s="656" t="s">
        <v>409</v>
      </c>
      <c r="M910" s="656" t="s">
        <v>50</v>
      </c>
      <c r="N910" s="656" t="s">
        <v>39</v>
      </c>
      <c r="O910" s="656" t="s">
        <v>39</v>
      </c>
      <c r="P910" s="656" t="s">
        <v>1037</v>
      </c>
      <c r="Q910" s="657">
        <v>827403</v>
      </c>
      <c r="R910" s="657">
        <v>224822</v>
      </c>
      <c r="S910" s="657">
        <v>848386</v>
      </c>
      <c r="T910" s="657">
        <v>230391</v>
      </c>
      <c r="U910" s="657">
        <v>56044.574000000001</v>
      </c>
      <c r="V910" s="655">
        <v>2021</v>
      </c>
      <c r="W910" s="659"/>
      <c r="X910" s="660" t="str">
        <f t="shared" si="44"/>
        <v/>
      </c>
      <c r="Y910" s="661">
        <f t="shared" si="42"/>
        <v>7.0081948753200676</v>
      </c>
      <c r="Z910" s="661" t="str">
        <f t="shared" si="43"/>
        <v/>
      </c>
    </row>
    <row r="911" spans="1:26" s="128" customFormat="1" hidden="1">
      <c r="A911" s="655">
        <v>54225</v>
      </c>
      <c r="B911" s="656" t="s">
        <v>54</v>
      </c>
      <c r="C911" s="655" t="s">
        <v>2793</v>
      </c>
      <c r="D911" s="656" t="s">
        <v>954</v>
      </c>
      <c r="E911" s="656" t="s">
        <v>955</v>
      </c>
      <c r="F911" s="655">
        <v>7209</v>
      </c>
      <c r="G911" s="656" t="s">
        <v>81</v>
      </c>
      <c r="H911" s="656" t="s">
        <v>1183</v>
      </c>
      <c r="I911" s="656" t="s">
        <v>58</v>
      </c>
      <c r="J911" s="655">
        <v>332</v>
      </c>
      <c r="K911" s="655">
        <v>7</v>
      </c>
      <c r="L911" s="656" t="s">
        <v>409</v>
      </c>
      <c r="M911" s="656" t="s">
        <v>50</v>
      </c>
      <c r="N911" s="656" t="s">
        <v>61</v>
      </c>
      <c r="O911" s="656" t="s">
        <v>61</v>
      </c>
      <c r="P911" s="656" t="s">
        <v>47</v>
      </c>
      <c r="Q911" s="657">
        <v>0</v>
      </c>
      <c r="R911" s="657">
        <v>0</v>
      </c>
      <c r="S911" s="657">
        <v>0</v>
      </c>
      <c r="T911" s="657">
        <v>0</v>
      </c>
      <c r="U911" s="657">
        <v>0</v>
      </c>
      <c r="V911" s="655">
        <v>2021</v>
      </c>
      <c r="W911" s="659"/>
      <c r="X911" s="660" t="str">
        <f t="shared" si="44"/>
        <v/>
      </c>
      <c r="Y911" s="661" t="str">
        <f t="shared" si="42"/>
        <v/>
      </c>
      <c r="Z911" s="661" t="str">
        <f t="shared" si="43"/>
        <v/>
      </c>
    </row>
    <row r="912" spans="1:26" s="128" customFormat="1" hidden="1">
      <c r="A912" s="655">
        <v>54225</v>
      </c>
      <c r="B912" s="656" t="s">
        <v>54</v>
      </c>
      <c r="C912" s="655" t="s">
        <v>2793</v>
      </c>
      <c r="D912" s="656" t="s">
        <v>954</v>
      </c>
      <c r="E912" s="656" t="s">
        <v>955</v>
      </c>
      <c r="F912" s="655">
        <v>7209</v>
      </c>
      <c r="G912" s="656" t="s">
        <v>81</v>
      </c>
      <c r="H912" s="656" t="s">
        <v>1183</v>
      </c>
      <c r="I912" s="656" t="s">
        <v>58</v>
      </c>
      <c r="J912" s="655">
        <v>332</v>
      </c>
      <c r="K912" s="655">
        <v>7</v>
      </c>
      <c r="L912" s="656" t="s">
        <v>409</v>
      </c>
      <c r="M912" s="656" t="s">
        <v>51</v>
      </c>
      <c r="N912" s="656" t="s">
        <v>46</v>
      </c>
      <c r="O912" s="656" t="s">
        <v>46</v>
      </c>
      <c r="P912" s="656" t="s">
        <v>47</v>
      </c>
      <c r="Q912" s="657">
        <v>1</v>
      </c>
      <c r="R912" s="657">
        <v>0</v>
      </c>
      <c r="S912" s="657">
        <v>6</v>
      </c>
      <c r="T912" s="657">
        <v>0</v>
      </c>
      <c r="U912" s="657">
        <v>0</v>
      </c>
      <c r="V912" s="655">
        <v>2021</v>
      </c>
      <c r="W912" s="659"/>
      <c r="X912" s="660" t="str">
        <f t="shared" si="44"/>
        <v/>
      </c>
      <c r="Y912" s="661" t="str">
        <f t="shared" si="42"/>
        <v/>
      </c>
      <c r="Z912" s="661" t="str">
        <f t="shared" si="43"/>
        <v/>
      </c>
    </row>
    <row r="913" spans="1:26" s="128" customFormat="1" hidden="1">
      <c r="A913" s="655">
        <v>54225</v>
      </c>
      <c r="B913" s="656" t="s">
        <v>54</v>
      </c>
      <c r="C913" s="655" t="s">
        <v>2793</v>
      </c>
      <c r="D913" s="656" t="s">
        <v>954</v>
      </c>
      <c r="E913" s="656" t="s">
        <v>955</v>
      </c>
      <c r="F913" s="655">
        <v>7209</v>
      </c>
      <c r="G913" s="656" t="s">
        <v>81</v>
      </c>
      <c r="H913" s="656" t="s">
        <v>1183</v>
      </c>
      <c r="I913" s="656" t="s">
        <v>58</v>
      </c>
      <c r="J913" s="655">
        <v>332</v>
      </c>
      <c r="K913" s="655">
        <v>7</v>
      </c>
      <c r="L913" s="656" t="s">
        <v>409</v>
      </c>
      <c r="M913" s="656" t="s">
        <v>42</v>
      </c>
      <c r="N913" s="656" t="s">
        <v>46</v>
      </c>
      <c r="O913" s="656" t="s">
        <v>46</v>
      </c>
      <c r="P913" s="656" t="s">
        <v>47</v>
      </c>
      <c r="Q913" s="657">
        <v>0</v>
      </c>
      <c r="R913" s="657">
        <v>0</v>
      </c>
      <c r="S913" s="657">
        <v>0</v>
      </c>
      <c r="T913" s="657">
        <v>0</v>
      </c>
      <c r="U913" s="657">
        <v>0</v>
      </c>
      <c r="V913" s="655">
        <v>2021</v>
      </c>
      <c r="W913" s="659"/>
      <c r="X913" s="660" t="str">
        <f t="shared" si="44"/>
        <v/>
      </c>
      <c r="Y913" s="661" t="str">
        <f t="shared" si="42"/>
        <v/>
      </c>
      <c r="Z913" s="661" t="str">
        <f t="shared" si="43"/>
        <v/>
      </c>
    </row>
    <row r="914" spans="1:26" s="128" customFormat="1" hidden="1">
      <c r="A914" s="655">
        <v>54225</v>
      </c>
      <c r="B914" s="656" t="s">
        <v>54</v>
      </c>
      <c r="C914" s="655" t="s">
        <v>2793</v>
      </c>
      <c r="D914" s="656" t="s">
        <v>954</v>
      </c>
      <c r="E914" s="656" t="s">
        <v>955</v>
      </c>
      <c r="F914" s="655">
        <v>7209</v>
      </c>
      <c r="G914" s="656" t="s">
        <v>81</v>
      </c>
      <c r="H914" s="656" t="s">
        <v>1183</v>
      </c>
      <c r="I914" s="656" t="s">
        <v>58</v>
      </c>
      <c r="J914" s="655">
        <v>332</v>
      </c>
      <c r="K914" s="655">
        <v>7</v>
      </c>
      <c r="L914" s="656" t="s">
        <v>409</v>
      </c>
      <c r="M914" s="656" t="s">
        <v>42</v>
      </c>
      <c r="N914" s="656" t="s">
        <v>39</v>
      </c>
      <c r="O914" s="656" t="s">
        <v>39</v>
      </c>
      <c r="P914" s="656" t="s">
        <v>1037</v>
      </c>
      <c r="Q914" s="657">
        <v>1203</v>
      </c>
      <c r="R914" s="657">
        <v>1203</v>
      </c>
      <c r="S914" s="657">
        <v>1227</v>
      </c>
      <c r="T914" s="657">
        <v>1227</v>
      </c>
      <c r="U914" s="657">
        <v>14279</v>
      </c>
      <c r="V914" s="655">
        <v>2021</v>
      </c>
      <c r="W914" s="659"/>
      <c r="X914" s="660" t="str">
        <f t="shared" si="44"/>
        <v/>
      </c>
      <c r="Y914" s="661" t="str">
        <f t="shared" si="42"/>
        <v/>
      </c>
      <c r="Z914" s="661" t="str">
        <f t="shared" si="43"/>
        <v/>
      </c>
    </row>
    <row r="915" spans="1:26" s="128" customFormat="1" hidden="1">
      <c r="A915" s="655">
        <v>54228</v>
      </c>
      <c r="B915" s="656" t="s">
        <v>54</v>
      </c>
      <c r="C915" s="655" t="s">
        <v>2793</v>
      </c>
      <c r="D915" s="656" t="s">
        <v>1834</v>
      </c>
      <c r="E915" s="656" t="s">
        <v>1835</v>
      </c>
      <c r="F915" s="655">
        <v>5989</v>
      </c>
      <c r="G915" s="656" t="s">
        <v>81</v>
      </c>
      <c r="H915" s="656" t="s">
        <v>1183</v>
      </c>
      <c r="I915" s="656" t="s">
        <v>58</v>
      </c>
      <c r="J915" s="655">
        <v>322122</v>
      </c>
      <c r="K915" s="655">
        <v>7</v>
      </c>
      <c r="L915" s="656" t="s">
        <v>409</v>
      </c>
      <c r="M915" s="656" t="s">
        <v>50</v>
      </c>
      <c r="N915" s="656" t="s">
        <v>46</v>
      </c>
      <c r="O915" s="656" t="s">
        <v>46</v>
      </c>
      <c r="P915" s="656" t="s">
        <v>47</v>
      </c>
      <c r="Q915" s="657">
        <v>1413</v>
      </c>
      <c r="R915" s="657">
        <v>517</v>
      </c>
      <c r="S915" s="657">
        <v>8310</v>
      </c>
      <c r="T915" s="657">
        <v>3037</v>
      </c>
      <c r="U915" s="657">
        <v>625.96299999999997</v>
      </c>
      <c r="V915" s="655">
        <v>2021</v>
      </c>
      <c r="W915" s="659"/>
      <c r="X915" s="660" t="str">
        <f t="shared" si="44"/>
        <v/>
      </c>
      <c r="Y915" s="661" t="str">
        <f t="shared" si="42"/>
        <v/>
      </c>
      <c r="Z915" s="661">
        <f t="shared" si="43"/>
        <v>6.1460856667602126</v>
      </c>
    </row>
    <row r="916" spans="1:26" s="128" customFormat="1" hidden="1">
      <c r="A916" s="655">
        <v>54228</v>
      </c>
      <c r="B916" s="656" t="s">
        <v>54</v>
      </c>
      <c r="C916" s="655" t="s">
        <v>2793</v>
      </c>
      <c r="D916" s="656" t="s">
        <v>1834</v>
      </c>
      <c r="E916" s="656" t="s">
        <v>1835</v>
      </c>
      <c r="F916" s="655">
        <v>5989</v>
      </c>
      <c r="G916" s="656" t="s">
        <v>81</v>
      </c>
      <c r="H916" s="656" t="s">
        <v>1183</v>
      </c>
      <c r="I916" s="656" t="s">
        <v>58</v>
      </c>
      <c r="J916" s="655">
        <v>322122</v>
      </c>
      <c r="K916" s="655">
        <v>7</v>
      </c>
      <c r="L916" s="656" t="s">
        <v>409</v>
      </c>
      <c r="M916" s="656" t="s">
        <v>50</v>
      </c>
      <c r="N916" s="656" t="s">
        <v>39</v>
      </c>
      <c r="O916" s="656" t="s">
        <v>39</v>
      </c>
      <c r="P916" s="656" t="s">
        <v>1037</v>
      </c>
      <c r="Q916" s="657">
        <v>503696</v>
      </c>
      <c r="R916" s="657">
        <v>182908</v>
      </c>
      <c r="S916" s="657">
        <v>503696</v>
      </c>
      <c r="T916" s="657">
        <v>182908</v>
      </c>
      <c r="U916" s="657">
        <v>37740.036999999997</v>
      </c>
      <c r="V916" s="655">
        <v>2021</v>
      </c>
      <c r="W916" s="659"/>
      <c r="X916" s="660" t="str">
        <f t="shared" si="44"/>
        <v/>
      </c>
      <c r="Y916" s="661">
        <f t="shared" si="42"/>
        <v>6.1789179642985683</v>
      </c>
      <c r="Z916" s="661" t="str">
        <f t="shared" si="43"/>
        <v/>
      </c>
    </row>
    <row r="917" spans="1:26" s="128" customFormat="1" hidden="1">
      <c r="A917" s="655">
        <v>54228</v>
      </c>
      <c r="B917" s="656" t="s">
        <v>54</v>
      </c>
      <c r="C917" s="655" t="s">
        <v>2793</v>
      </c>
      <c r="D917" s="656" t="s">
        <v>1834</v>
      </c>
      <c r="E917" s="656" t="s">
        <v>1835</v>
      </c>
      <c r="F917" s="655">
        <v>5989</v>
      </c>
      <c r="G917" s="656" t="s">
        <v>81</v>
      </c>
      <c r="H917" s="656" t="s">
        <v>1183</v>
      </c>
      <c r="I917" s="656" t="s">
        <v>58</v>
      </c>
      <c r="J917" s="655">
        <v>322122</v>
      </c>
      <c r="K917" s="655">
        <v>7</v>
      </c>
      <c r="L917" s="656" t="s">
        <v>409</v>
      </c>
      <c r="M917" s="656" t="s">
        <v>42</v>
      </c>
      <c r="N917" s="656" t="s">
        <v>39</v>
      </c>
      <c r="O917" s="656" t="s">
        <v>39</v>
      </c>
      <c r="P917" s="656" t="s">
        <v>1037</v>
      </c>
      <c r="Q917" s="657">
        <v>0</v>
      </c>
      <c r="R917" s="657">
        <v>0</v>
      </c>
      <c r="S917" s="657">
        <v>0</v>
      </c>
      <c r="T917" s="657">
        <v>0</v>
      </c>
      <c r="U917" s="657">
        <v>2427.91</v>
      </c>
      <c r="V917" s="655">
        <v>2021</v>
      </c>
      <c r="W917" s="659"/>
      <c r="X917" s="660" t="str">
        <f t="shared" si="44"/>
        <v/>
      </c>
      <c r="Y917" s="661" t="str">
        <f t="shared" si="42"/>
        <v/>
      </c>
      <c r="Z917" s="661" t="str">
        <f t="shared" si="43"/>
        <v/>
      </c>
    </row>
    <row r="918" spans="1:26" s="128" customFormat="1" hidden="1">
      <c r="A918" s="655">
        <v>54228</v>
      </c>
      <c r="B918" s="656" t="s">
        <v>54</v>
      </c>
      <c r="C918" s="655" t="s">
        <v>2793</v>
      </c>
      <c r="D918" s="656" t="s">
        <v>1834</v>
      </c>
      <c r="E918" s="656" t="s">
        <v>1835</v>
      </c>
      <c r="F918" s="655">
        <v>5989</v>
      </c>
      <c r="G918" s="656" t="s">
        <v>81</v>
      </c>
      <c r="H918" s="656" t="s">
        <v>1183</v>
      </c>
      <c r="I918" s="656" t="s">
        <v>58</v>
      </c>
      <c r="J918" s="655">
        <v>322122</v>
      </c>
      <c r="K918" s="655">
        <v>7</v>
      </c>
      <c r="L918" s="656" t="s">
        <v>409</v>
      </c>
      <c r="M918" s="656" t="s">
        <v>42</v>
      </c>
      <c r="N918" s="656" t="s">
        <v>82</v>
      </c>
      <c r="O918" s="656" t="s">
        <v>82</v>
      </c>
      <c r="P918" s="656" t="s">
        <v>1176</v>
      </c>
      <c r="Q918" s="657">
        <v>0</v>
      </c>
      <c r="R918" s="657">
        <v>0</v>
      </c>
      <c r="S918" s="657">
        <v>0</v>
      </c>
      <c r="T918" s="657">
        <v>0</v>
      </c>
      <c r="U918" s="657">
        <v>0</v>
      </c>
      <c r="V918" s="655">
        <v>2021</v>
      </c>
      <c r="W918" s="659"/>
      <c r="X918" s="660" t="str">
        <f t="shared" si="44"/>
        <v/>
      </c>
      <c r="Y918" s="661" t="str">
        <f t="shared" si="42"/>
        <v/>
      </c>
      <c r="Z918" s="661" t="str">
        <f t="shared" si="43"/>
        <v/>
      </c>
    </row>
    <row r="919" spans="1:26" s="128" customFormat="1" hidden="1">
      <c r="A919" s="655">
        <v>54236</v>
      </c>
      <c r="B919" s="656" t="s">
        <v>54</v>
      </c>
      <c r="C919" s="655" t="s">
        <v>2793</v>
      </c>
      <c r="D919" s="656" t="s">
        <v>956</v>
      </c>
      <c r="E919" s="656" t="s">
        <v>957</v>
      </c>
      <c r="F919" s="655">
        <v>14928</v>
      </c>
      <c r="G919" s="656" t="s">
        <v>41</v>
      </c>
      <c r="H919" s="656" t="s">
        <v>1183</v>
      </c>
      <c r="I919" s="656" t="s">
        <v>58</v>
      </c>
      <c r="J919" s="655">
        <v>325</v>
      </c>
      <c r="K919" s="655">
        <v>7</v>
      </c>
      <c r="L919" s="656" t="s">
        <v>409</v>
      </c>
      <c r="M919" s="656" t="s">
        <v>50</v>
      </c>
      <c r="N919" s="656" t="s">
        <v>46</v>
      </c>
      <c r="O919" s="656" t="s">
        <v>46</v>
      </c>
      <c r="P919" s="656" t="s">
        <v>47</v>
      </c>
      <c r="Q919" s="657">
        <v>3844</v>
      </c>
      <c r="R919" s="657">
        <v>1233</v>
      </c>
      <c r="S919" s="657">
        <v>22373</v>
      </c>
      <c r="T919" s="657">
        <v>7182</v>
      </c>
      <c r="U919" s="657">
        <v>1584.7840000000001</v>
      </c>
      <c r="V919" s="655">
        <v>2021</v>
      </c>
      <c r="W919" s="659"/>
      <c r="X919" s="660" t="str">
        <f t="shared" si="44"/>
        <v/>
      </c>
      <c r="Y919" s="661" t="str">
        <f t="shared" si="42"/>
        <v/>
      </c>
      <c r="Z919" s="661">
        <f t="shared" si="43"/>
        <v>6.5358246741324812</v>
      </c>
    </row>
    <row r="920" spans="1:26" s="128" customFormat="1" hidden="1">
      <c r="A920" s="655">
        <v>54236</v>
      </c>
      <c r="B920" s="656" t="s">
        <v>54</v>
      </c>
      <c r="C920" s="655" t="s">
        <v>2793</v>
      </c>
      <c r="D920" s="656" t="s">
        <v>956</v>
      </c>
      <c r="E920" s="656" t="s">
        <v>957</v>
      </c>
      <c r="F920" s="655">
        <v>14928</v>
      </c>
      <c r="G920" s="656" t="s">
        <v>41</v>
      </c>
      <c r="H920" s="656" t="s">
        <v>1183</v>
      </c>
      <c r="I920" s="656" t="s">
        <v>58</v>
      </c>
      <c r="J920" s="655">
        <v>325</v>
      </c>
      <c r="K920" s="655">
        <v>7</v>
      </c>
      <c r="L920" s="656" t="s">
        <v>409</v>
      </c>
      <c r="M920" s="656" t="s">
        <v>50</v>
      </c>
      <c r="N920" s="656" t="s">
        <v>39</v>
      </c>
      <c r="O920" s="656" t="s">
        <v>39</v>
      </c>
      <c r="P920" s="656" t="s">
        <v>1037</v>
      </c>
      <c r="Q920" s="657">
        <v>750463</v>
      </c>
      <c r="R920" s="657">
        <v>242424</v>
      </c>
      <c r="S920" s="657">
        <v>770725</v>
      </c>
      <c r="T920" s="657">
        <v>248970</v>
      </c>
      <c r="U920" s="657">
        <v>55175.196000000004</v>
      </c>
      <c r="V920" s="655">
        <v>2021</v>
      </c>
      <c r="W920" s="659"/>
      <c r="X920" s="660" t="str">
        <f t="shared" si="44"/>
        <v/>
      </c>
      <c r="Y920" s="661">
        <f t="shared" si="42"/>
        <v>6.4669843606831883</v>
      </c>
      <c r="Z920" s="661" t="str">
        <f t="shared" si="43"/>
        <v/>
      </c>
    </row>
    <row r="921" spans="1:26" s="128" customFormat="1" hidden="1">
      <c r="A921" s="655">
        <v>54236</v>
      </c>
      <c r="B921" s="656" t="s">
        <v>54</v>
      </c>
      <c r="C921" s="655" t="s">
        <v>2793</v>
      </c>
      <c r="D921" s="656" t="s">
        <v>956</v>
      </c>
      <c r="E921" s="656" t="s">
        <v>957</v>
      </c>
      <c r="F921" s="655">
        <v>14928</v>
      </c>
      <c r="G921" s="656" t="s">
        <v>41</v>
      </c>
      <c r="H921" s="656" t="s">
        <v>1183</v>
      </c>
      <c r="I921" s="656" t="s">
        <v>58</v>
      </c>
      <c r="J921" s="655">
        <v>325</v>
      </c>
      <c r="K921" s="655">
        <v>7</v>
      </c>
      <c r="L921" s="656" t="s">
        <v>409</v>
      </c>
      <c r="M921" s="656" t="s">
        <v>50</v>
      </c>
      <c r="N921" s="656" t="s">
        <v>61</v>
      </c>
      <c r="O921" s="656" t="s">
        <v>61</v>
      </c>
      <c r="P921" s="656" t="s">
        <v>47</v>
      </c>
      <c r="Q921" s="657">
        <v>0</v>
      </c>
      <c r="R921" s="657">
        <v>0</v>
      </c>
      <c r="S921" s="657">
        <v>0</v>
      </c>
      <c r="T921" s="657">
        <v>0</v>
      </c>
      <c r="U921" s="657">
        <v>0</v>
      </c>
      <c r="V921" s="655">
        <v>2021</v>
      </c>
      <c r="W921" s="659"/>
      <c r="X921" s="660" t="str">
        <f t="shared" si="44"/>
        <v/>
      </c>
      <c r="Y921" s="661" t="str">
        <f t="shared" si="42"/>
        <v/>
      </c>
      <c r="Z921" s="661" t="str">
        <f t="shared" si="43"/>
        <v/>
      </c>
    </row>
    <row r="922" spans="1:26" s="128" customFormat="1" hidden="1">
      <c r="A922" s="655">
        <v>54236</v>
      </c>
      <c r="B922" s="656" t="s">
        <v>54</v>
      </c>
      <c r="C922" s="655" t="s">
        <v>2793</v>
      </c>
      <c r="D922" s="656" t="s">
        <v>956</v>
      </c>
      <c r="E922" s="656" t="s">
        <v>957</v>
      </c>
      <c r="F922" s="655">
        <v>14928</v>
      </c>
      <c r="G922" s="656" t="s">
        <v>41</v>
      </c>
      <c r="H922" s="656" t="s">
        <v>1183</v>
      </c>
      <c r="I922" s="656" t="s">
        <v>58</v>
      </c>
      <c r="J922" s="655">
        <v>325</v>
      </c>
      <c r="K922" s="655">
        <v>7</v>
      </c>
      <c r="L922" s="656" t="s">
        <v>409</v>
      </c>
      <c r="M922" s="656" t="s">
        <v>42</v>
      </c>
      <c r="N922" s="656" t="s">
        <v>46</v>
      </c>
      <c r="O922" s="656" t="s">
        <v>46</v>
      </c>
      <c r="P922" s="656" t="s">
        <v>47</v>
      </c>
      <c r="Q922" s="657">
        <v>16086</v>
      </c>
      <c r="R922" s="657">
        <v>1099</v>
      </c>
      <c r="S922" s="657">
        <v>93621</v>
      </c>
      <c r="T922" s="657">
        <v>6401</v>
      </c>
      <c r="U922" s="657">
        <v>1368.83</v>
      </c>
      <c r="V922" s="655">
        <v>2021</v>
      </c>
      <c r="W922" s="659"/>
      <c r="X922" s="660" t="str">
        <f t="shared" si="44"/>
        <v/>
      </c>
      <c r="Y922" s="661" t="str">
        <f t="shared" si="42"/>
        <v/>
      </c>
      <c r="Z922" s="661" t="str">
        <f t="shared" si="43"/>
        <v/>
      </c>
    </row>
    <row r="923" spans="1:26" s="128" customFormat="1" hidden="1">
      <c r="A923" s="655">
        <v>54236</v>
      </c>
      <c r="B923" s="656" t="s">
        <v>54</v>
      </c>
      <c r="C923" s="655" t="s">
        <v>2793</v>
      </c>
      <c r="D923" s="656" t="s">
        <v>956</v>
      </c>
      <c r="E923" s="656" t="s">
        <v>957</v>
      </c>
      <c r="F923" s="655">
        <v>14928</v>
      </c>
      <c r="G923" s="656" t="s">
        <v>41</v>
      </c>
      <c r="H923" s="656" t="s">
        <v>1183</v>
      </c>
      <c r="I923" s="656" t="s">
        <v>58</v>
      </c>
      <c r="J923" s="655">
        <v>325</v>
      </c>
      <c r="K923" s="655">
        <v>7</v>
      </c>
      <c r="L923" s="656" t="s">
        <v>409</v>
      </c>
      <c r="M923" s="656" t="s">
        <v>42</v>
      </c>
      <c r="N923" s="656" t="s">
        <v>39</v>
      </c>
      <c r="O923" s="656" t="s">
        <v>39</v>
      </c>
      <c r="P923" s="656" t="s">
        <v>1037</v>
      </c>
      <c r="Q923" s="657">
        <v>989759</v>
      </c>
      <c r="R923" s="657">
        <v>80415</v>
      </c>
      <c r="S923" s="657">
        <v>1016483</v>
      </c>
      <c r="T923" s="657">
        <v>82586</v>
      </c>
      <c r="U923" s="657">
        <v>17803.633000000002</v>
      </c>
      <c r="V923" s="655">
        <v>2021</v>
      </c>
      <c r="W923" s="659"/>
      <c r="X923" s="660" t="str">
        <f t="shared" si="44"/>
        <v/>
      </c>
      <c r="Y923" s="661" t="str">
        <f t="shared" si="42"/>
        <v/>
      </c>
      <c r="Z923" s="661" t="str">
        <f t="shared" si="43"/>
        <v/>
      </c>
    </row>
    <row r="924" spans="1:26" s="128" customFormat="1" hidden="1">
      <c r="A924" s="655">
        <v>54236</v>
      </c>
      <c r="B924" s="656" t="s">
        <v>54</v>
      </c>
      <c r="C924" s="655" t="s">
        <v>2793</v>
      </c>
      <c r="D924" s="656" t="s">
        <v>956</v>
      </c>
      <c r="E924" s="656" t="s">
        <v>957</v>
      </c>
      <c r="F924" s="655">
        <v>14928</v>
      </c>
      <c r="G924" s="656" t="s">
        <v>41</v>
      </c>
      <c r="H924" s="656" t="s">
        <v>1183</v>
      </c>
      <c r="I924" s="656" t="s">
        <v>58</v>
      </c>
      <c r="J924" s="655">
        <v>325</v>
      </c>
      <c r="K924" s="655">
        <v>7</v>
      </c>
      <c r="L924" s="656" t="s">
        <v>409</v>
      </c>
      <c r="M924" s="656" t="s">
        <v>42</v>
      </c>
      <c r="N924" s="656" t="s">
        <v>426</v>
      </c>
      <c r="O924" s="656" t="s">
        <v>67</v>
      </c>
      <c r="P924" s="656" t="s">
        <v>1037</v>
      </c>
      <c r="Q924" s="657">
        <v>0</v>
      </c>
      <c r="R924" s="657">
        <v>0</v>
      </c>
      <c r="S924" s="657">
        <v>0</v>
      </c>
      <c r="T924" s="657">
        <v>0</v>
      </c>
      <c r="U924" s="657">
        <v>0</v>
      </c>
      <c r="V924" s="655">
        <v>2021</v>
      </c>
      <c r="W924" s="659"/>
      <c r="X924" s="660" t="str">
        <f t="shared" si="44"/>
        <v/>
      </c>
      <c r="Y924" s="661" t="str">
        <f t="shared" si="42"/>
        <v/>
      </c>
      <c r="Z924" s="661" t="str">
        <f t="shared" si="43"/>
        <v/>
      </c>
    </row>
    <row r="925" spans="1:26" s="128" customFormat="1" ht="25" hidden="1">
      <c r="A925" s="655">
        <v>54302</v>
      </c>
      <c r="B925" s="656" t="s">
        <v>33</v>
      </c>
      <c r="C925" s="655" t="s">
        <v>2793</v>
      </c>
      <c r="D925" s="656" t="s">
        <v>959</v>
      </c>
      <c r="E925" s="656" t="s">
        <v>958</v>
      </c>
      <c r="F925" s="655">
        <v>12382</v>
      </c>
      <c r="G925" s="656" t="s">
        <v>41</v>
      </c>
      <c r="H925" s="656" t="s">
        <v>1183</v>
      </c>
      <c r="I925" s="656" t="s">
        <v>58</v>
      </c>
      <c r="J925" s="655">
        <v>22</v>
      </c>
      <c r="K925" s="655">
        <v>2</v>
      </c>
      <c r="L925" s="656" t="s">
        <v>52</v>
      </c>
      <c r="M925" s="656" t="s">
        <v>35</v>
      </c>
      <c r="N925" s="656" t="s">
        <v>36</v>
      </c>
      <c r="O925" s="656" t="s">
        <v>37</v>
      </c>
      <c r="P925" s="656" t="s">
        <v>1176</v>
      </c>
      <c r="Q925" s="657">
        <v>0</v>
      </c>
      <c r="R925" s="657">
        <v>0</v>
      </c>
      <c r="S925" s="657">
        <v>139232</v>
      </c>
      <c r="T925" s="657">
        <v>139232</v>
      </c>
      <c r="U925" s="657">
        <v>15745</v>
      </c>
      <c r="V925" s="655">
        <v>2021</v>
      </c>
      <c r="W925" s="659"/>
      <c r="X925" s="660">
        <f t="shared" si="44"/>
        <v>8.842934264845983</v>
      </c>
      <c r="Y925" s="661" t="str">
        <f t="shared" si="42"/>
        <v/>
      </c>
      <c r="Z925" s="661" t="str">
        <f t="shared" si="43"/>
        <v/>
      </c>
    </row>
    <row r="926" spans="1:26" s="128" customFormat="1" hidden="1">
      <c r="A926" s="655">
        <v>54324</v>
      </c>
      <c r="B926" s="656" t="s">
        <v>33</v>
      </c>
      <c r="C926" s="655" t="s">
        <v>2793</v>
      </c>
      <c r="D926" s="656" t="s">
        <v>22</v>
      </c>
      <c r="E926" s="656" t="s">
        <v>22</v>
      </c>
      <c r="F926" s="655">
        <v>27770</v>
      </c>
      <c r="G926" s="656" t="s">
        <v>131</v>
      </c>
      <c r="H926" s="656" t="s">
        <v>1183</v>
      </c>
      <c r="I926" s="656" t="s">
        <v>58</v>
      </c>
      <c r="J926" s="655">
        <v>22</v>
      </c>
      <c r="K926" s="655">
        <v>2</v>
      </c>
      <c r="L926" s="656" t="s">
        <v>52</v>
      </c>
      <c r="M926" s="656" t="s">
        <v>38</v>
      </c>
      <c r="N926" s="656" t="s">
        <v>46</v>
      </c>
      <c r="O926" s="656" t="s">
        <v>46</v>
      </c>
      <c r="P926" s="656" t="s">
        <v>47</v>
      </c>
      <c r="Q926" s="657">
        <v>0</v>
      </c>
      <c r="R926" s="657">
        <v>0</v>
      </c>
      <c r="S926" s="657">
        <v>0</v>
      </c>
      <c r="T926" s="657">
        <v>0</v>
      </c>
      <c r="U926" s="657">
        <v>848.07100000000003</v>
      </c>
      <c r="V926" s="655">
        <v>2021</v>
      </c>
      <c r="W926" s="659" t="s">
        <v>3675</v>
      </c>
      <c r="X926" s="660" t="str">
        <f t="shared" si="44"/>
        <v/>
      </c>
      <c r="Y926" s="661" t="str">
        <f t="shared" si="42"/>
        <v/>
      </c>
      <c r="Z926" s="661" t="str">
        <f t="shared" si="43"/>
        <v/>
      </c>
    </row>
    <row r="927" spans="1:26" s="128" customFormat="1" hidden="1">
      <c r="A927" s="655">
        <v>54324</v>
      </c>
      <c r="B927" s="656" t="s">
        <v>33</v>
      </c>
      <c r="C927" s="655" t="s">
        <v>2793</v>
      </c>
      <c r="D927" s="656" t="s">
        <v>22</v>
      </c>
      <c r="E927" s="656" t="s">
        <v>22</v>
      </c>
      <c r="F927" s="655">
        <v>27770</v>
      </c>
      <c r="G927" s="656" t="s">
        <v>131</v>
      </c>
      <c r="H927" s="656" t="s">
        <v>1183</v>
      </c>
      <c r="I927" s="656" t="s">
        <v>58</v>
      </c>
      <c r="J927" s="655">
        <v>22</v>
      </c>
      <c r="K927" s="655">
        <v>2</v>
      </c>
      <c r="L927" s="656" t="s">
        <v>52</v>
      </c>
      <c r="M927" s="656" t="s">
        <v>38</v>
      </c>
      <c r="N927" s="656" t="s">
        <v>39</v>
      </c>
      <c r="O927" s="656" t="s">
        <v>39</v>
      </c>
      <c r="P927" s="656" t="s">
        <v>1037</v>
      </c>
      <c r="Q927" s="657">
        <v>4387</v>
      </c>
      <c r="R927" s="657">
        <v>4387</v>
      </c>
      <c r="S927" s="657">
        <v>4504</v>
      </c>
      <c r="T927" s="657">
        <v>4504</v>
      </c>
      <c r="U927" s="657">
        <v>368782.93</v>
      </c>
      <c r="V927" s="655">
        <v>2021</v>
      </c>
      <c r="W927" s="659" t="s">
        <v>3675</v>
      </c>
      <c r="X927" s="660">
        <f t="shared" si="44"/>
        <v>1.2213146633440978E-2</v>
      </c>
      <c r="Y927" s="661" t="str">
        <f t="shared" si="42"/>
        <v/>
      </c>
      <c r="Z927" s="661" t="str">
        <f t="shared" si="43"/>
        <v/>
      </c>
    </row>
    <row r="928" spans="1:26" s="128" customFormat="1" hidden="1">
      <c r="A928" s="655">
        <v>54324</v>
      </c>
      <c r="B928" s="656" t="s">
        <v>33</v>
      </c>
      <c r="C928" s="655" t="s">
        <v>2793</v>
      </c>
      <c r="D928" s="656" t="s">
        <v>22</v>
      </c>
      <c r="E928" s="656" t="s">
        <v>22</v>
      </c>
      <c r="F928" s="655">
        <v>27770</v>
      </c>
      <c r="G928" s="656" t="s">
        <v>131</v>
      </c>
      <c r="H928" s="656" t="s">
        <v>1183</v>
      </c>
      <c r="I928" s="656" t="s">
        <v>58</v>
      </c>
      <c r="J928" s="655">
        <v>22</v>
      </c>
      <c r="K928" s="655">
        <v>2</v>
      </c>
      <c r="L928" s="656" t="s">
        <v>52</v>
      </c>
      <c r="M928" s="656" t="s">
        <v>41</v>
      </c>
      <c r="N928" s="656" t="s">
        <v>46</v>
      </c>
      <c r="O928" s="656" t="s">
        <v>46</v>
      </c>
      <c r="P928" s="656" t="s">
        <v>47</v>
      </c>
      <c r="Q928" s="657">
        <v>2740</v>
      </c>
      <c r="R928" s="657">
        <v>2740</v>
      </c>
      <c r="S928" s="657">
        <v>15865</v>
      </c>
      <c r="T928" s="657">
        <v>15865</v>
      </c>
      <c r="U928" s="657">
        <v>998.64499999999998</v>
      </c>
      <c r="V928" s="655">
        <v>2021</v>
      </c>
      <c r="W928" s="659" t="s">
        <v>3675</v>
      </c>
      <c r="X928" s="660">
        <f t="shared" si="44"/>
        <v>15.886526243059345</v>
      </c>
      <c r="Y928" s="661" t="str">
        <f t="shared" si="42"/>
        <v/>
      </c>
      <c r="Z928" s="661" t="str">
        <f t="shared" si="43"/>
        <v/>
      </c>
    </row>
    <row r="929" spans="1:26" s="128" customFormat="1" hidden="1">
      <c r="A929" s="655">
        <v>54324</v>
      </c>
      <c r="B929" s="656" t="s">
        <v>33</v>
      </c>
      <c r="C929" s="655" t="s">
        <v>2793</v>
      </c>
      <c r="D929" s="656" t="s">
        <v>22</v>
      </c>
      <c r="E929" s="656" t="s">
        <v>22</v>
      </c>
      <c r="F929" s="655">
        <v>27770</v>
      </c>
      <c r="G929" s="656" t="s">
        <v>131</v>
      </c>
      <c r="H929" s="656" t="s">
        <v>1183</v>
      </c>
      <c r="I929" s="656" t="s">
        <v>58</v>
      </c>
      <c r="J929" s="655">
        <v>22</v>
      </c>
      <c r="K929" s="655">
        <v>2</v>
      </c>
      <c r="L929" s="656" t="s">
        <v>52</v>
      </c>
      <c r="M929" s="656" t="s">
        <v>41</v>
      </c>
      <c r="N929" s="656" t="s">
        <v>39</v>
      </c>
      <c r="O929" s="656" t="s">
        <v>39</v>
      </c>
      <c r="P929" s="656" t="s">
        <v>1037</v>
      </c>
      <c r="Q929" s="657">
        <v>7210989</v>
      </c>
      <c r="R929" s="657">
        <v>7210989</v>
      </c>
      <c r="S929" s="657">
        <v>7405687</v>
      </c>
      <c r="T929" s="657">
        <v>7405687</v>
      </c>
      <c r="U929" s="657">
        <v>509354.36</v>
      </c>
      <c r="V929" s="655">
        <v>2021</v>
      </c>
      <c r="W929" s="659" t="s">
        <v>3675</v>
      </c>
      <c r="X929" s="660">
        <f t="shared" si="44"/>
        <v>14.539361163022145</v>
      </c>
      <c r="Y929" s="661" t="str">
        <f t="shared" si="42"/>
        <v/>
      </c>
      <c r="Z929" s="661" t="str">
        <f t="shared" si="43"/>
        <v/>
      </c>
    </row>
    <row r="930" spans="1:26" s="128" customFormat="1" ht="25" hidden="1">
      <c r="A930" s="655">
        <v>54355</v>
      </c>
      <c r="B930" s="656" t="s">
        <v>33</v>
      </c>
      <c r="C930" s="655" t="s">
        <v>2793</v>
      </c>
      <c r="D930" s="656" t="s">
        <v>960</v>
      </c>
      <c r="E930" s="656" t="s">
        <v>1099</v>
      </c>
      <c r="F930" s="655">
        <v>2548</v>
      </c>
      <c r="G930" s="656" t="s">
        <v>89</v>
      </c>
      <c r="H930" s="656" t="s">
        <v>1183</v>
      </c>
      <c r="I930" s="656" t="s">
        <v>58</v>
      </c>
      <c r="J930" s="655">
        <v>22</v>
      </c>
      <c r="K930" s="655">
        <v>1</v>
      </c>
      <c r="L930" s="656" t="s">
        <v>34</v>
      </c>
      <c r="M930" s="656" t="s">
        <v>35</v>
      </c>
      <c r="N930" s="656" t="s">
        <v>36</v>
      </c>
      <c r="O930" s="656" t="s">
        <v>37</v>
      </c>
      <c r="P930" s="656" t="s">
        <v>1176</v>
      </c>
      <c r="Q930" s="657">
        <v>0</v>
      </c>
      <c r="R930" s="657">
        <v>0</v>
      </c>
      <c r="S930" s="657">
        <v>219207</v>
      </c>
      <c r="T930" s="657">
        <v>219207</v>
      </c>
      <c r="U930" s="657">
        <v>24789</v>
      </c>
      <c r="V930" s="655">
        <v>2021</v>
      </c>
      <c r="W930" s="659"/>
      <c r="X930" s="660">
        <f t="shared" si="44"/>
        <v>8.8429141958126589</v>
      </c>
      <c r="Y930" s="661" t="str">
        <f t="shared" si="42"/>
        <v/>
      </c>
      <c r="Z930" s="661" t="str">
        <f t="shared" si="43"/>
        <v/>
      </c>
    </row>
    <row r="931" spans="1:26" s="128" customFormat="1" ht="25" hidden="1">
      <c r="A931" s="655">
        <v>54384</v>
      </c>
      <c r="B931" s="656" t="s">
        <v>33</v>
      </c>
      <c r="C931" s="655" t="s">
        <v>2793</v>
      </c>
      <c r="D931" s="656" t="s">
        <v>961</v>
      </c>
      <c r="E931" s="656" t="s">
        <v>132</v>
      </c>
      <c r="F931" s="655">
        <v>7601</v>
      </c>
      <c r="G931" s="656" t="s">
        <v>96</v>
      </c>
      <c r="H931" s="656" t="s">
        <v>1183</v>
      </c>
      <c r="I931" s="656" t="s">
        <v>58</v>
      </c>
      <c r="J931" s="655">
        <v>22</v>
      </c>
      <c r="K931" s="655">
        <v>1</v>
      </c>
      <c r="L931" s="656" t="s">
        <v>34</v>
      </c>
      <c r="M931" s="656" t="s">
        <v>35</v>
      </c>
      <c r="N931" s="656" t="s">
        <v>36</v>
      </c>
      <c r="O931" s="656" t="s">
        <v>37</v>
      </c>
      <c r="P931" s="656" t="s">
        <v>1176</v>
      </c>
      <c r="Q931" s="657">
        <v>0</v>
      </c>
      <c r="R931" s="657">
        <v>0</v>
      </c>
      <c r="S931" s="657">
        <v>36485</v>
      </c>
      <c r="T931" s="657">
        <v>36485</v>
      </c>
      <c r="U931" s="657">
        <v>4126</v>
      </c>
      <c r="V931" s="655">
        <v>2021</v>
      </c>
      <c r="W931" s="659"/>
      <c r="X931" s="660">
        <f t="shared" si="44"/>
        <v>8.8427047988366461</v>
      </c>
      <c r="Y931" s="661" t="str">
        <f t="shared" si="42"/>
        <v/>
      </c>
      <c r="Z931" s="661" t="str">
        <f t="shared" si="43"/>
        <v/>
      </c>
    </row>
    <row r="932" spans="1:26" s="128" customFormat="1" hidden="1">
      <c r="A932" s="655">
        <v>54385</v>
      </c>
      <c r="B932" s="656" t="s">
        <v>33</v>
      </c>
      <c r="C932" s="655" t="s">
        <v>2793</v>
      </c>
      <c r="D932" s="656" t="s">
        <v>962</v>
      </c>
      <c r="E932" s="656" t="s">
        <v>3111</v>
      </c>
      <c r="F932" s="655">
        <v>63985</v>
      </c>
      <c r="G932" s="656" t="s">
        <v>41</v>
      </c>
      <c r="H932" s="656" t="s">
        <v>1183</v>
      </c>
      <c r="I932" s="656" t="s">
        <v>58</v>
      </c>
      <c r="J932" s="655">
        <v>22</v>
      </c>
      <c r="K932" s="655">
        <v>2</v>
      </c>
      <c r="L932" s="656" t="s">
        <v>52</v>
      </c>
      <c r="M932" s="656" t="s">
        <v>35</v>
      </c>
      <c r="N932" s="656" t="s">
        <v>36</v>
      </c>
      <c r="O932" s="656" t="s">
        <v>37</v>
      </c>
      <c r="P932" s="656" t="s">
        <v>1176</v>
      </c>
      <c r="Q932" s="657">
        <v>0</v>
      </c>
      <c r="R932" s="657">
        <v>0</v>
      </c>
      <c r="S932" s="657">
        <v>0</v>
      </c>
      <c r="T932" s="657">
        <v>0</v>
      </c>
      <c r="U932" s="657">
        <v>0</v>
      </c>
      <c r="V932" s="655">
        <v>2021</v>
      </c>
      <c r="W932" s="659"/>
      <c r="X932" s="660" t="str">
        <f t="shared" si="44"/>
        <v/>
      </c>
      <c r="Y932" s="661" t="str">
        <f t="shared" si="42"/>
        <v/>
      </c>
      <c r="Z932" s="661" t="str">
        <f t="shared" si="43"/>
        <v/>
      </c>
    </row>
    <row r="933" spans="1:26" s="128" customFormat="1" ht="25" hidden="1">
      <c r="A933" s="655">
        <v>54391</v>
      </c>
      <c r="B933" s="656" t="s">
        <v>33</v>
      </c>
      <c r="C933" s="655" t="s">
        <v>2793</v>
      </c>
      <c r="D933" s="656" t="s">
        <v>963</v>
      </c>
      <c r="E933" s="656" t="s">
        <v>3104</v>
      </c>
      <c r="F933" s="655">
        <v>57280</v>
      </c>
      <c r="G933" s="656" t="s">
        <v>57</v>
      </c>
      <c r="H933" s="656" t="s">
        <v>1182</v>
      </c>
      <c r="I933" s="656" t="s">
        <v>58</v>
      </c>
      <c r="J933" s="655">
        <v>22</v>
      </c>
      <c r="K933" s="655">
        <v>2</v>
      </c>
      <c r="L933" s="656" t="s">
        <v>52</v>
      </c>
      <c r="M933" s="656" t="s">
        <v>35</v>
      </c>
      <c r="N933" s="656" t="s">
        <v>36</v>
      </c>
      <c r="O933" s="656" t="s">
        <v>37</v>
      </c>
      <c r="P933" s="656" t="s">
        <v>1176</v>
      </c>
      <c r="Q933" s="657">
        <v>0</v>
      </c>
      <c r="R933" s="657">
        <v>0</v>
      </c>
      <c r="S933" s="657">
        <v>37414</v>
      </c>
      <c r="T933" s="657">
        <v>37414</v>
      </c>
      <c r="U933" s="657">
        <v>4231</v>
      </c>
      <c r="V933" s="655">
        <v>2021</v>
      </c>
      <c r="W933" s="659"/>
      <c r="X933" s="660">
        <f t="shared" si="44"/>
        <v>8.8428267549042783</v>
      </c>
      <c r="Y933" s="661" t="str">
        <f t="shared" si="42"/>
        <v/>
      </c>
      <c r="Z933" s="661" t="str">
        <f t="shared" si="43"/>
        <v/>
      </c>
    </row>
    <row r="934" spans="1:26" s="128" customFormat="1" ht="25" hidden="1">
      <c r="A934" s="655">
        <v>54395</v>
      </c>
      <c r="B934" s="656" t="s">
        <v>33</v>
      </c>
      <c r="C934" s="655" t="s">
        <v>2793</v>
      </c>
      <c r="D934" s="656" t="s">
        <v>964</v>
      </c>
      <c r="E934" s="656" t="s">
        <v>1836</v>
      </c>
      <c r="F934" s="655">
        <v>59834</v>
      </c>
      <c r="G934" s="656" t="s">
        <v>57</v>
      </c>
      <c r="H934" s="656" t="s">
        <v>1182</v>
      </c>
      <c r="I934" s="656" t="s">
        <v>58</v>
      </c>
      <c r="J934" s="655">
        <v>22</v>
      </c>
      <c r="K934" s="655">
        <v>2</v>
      </c>
      <c r="L934" s="656" t="s">
        <v>52</v>
      </c>
      <c r="M934" s="656" t="s">
        <v>35</v>
      </c>
      <c r="N934" s="656" t="s">
        <v>36</v>
      </c>
      <c r="O934" s="656" t="s">
        <v>37</v>
      </c>
      <c r="P934" s="656" t="s">
        <v>1176</v>
      </c>
      <c r="Q934" s="657">
        <v>0</v>
      </c>
      <c r="R934" s="657">
        <v>0</v>
      </c>
      <c r="S934" s="657">
        <v>142655</v>
      </c>
      <c r="T934" s="657">
        <v>142655</v>
      </c>
      <c r="U934" s="657">
        <v>16132</v>
      </c>
      <c r="V934" s="655">
        <v>2021</v>
      </c>
      <c r="W934" s="659"/>
      <c r="X934" s="660">
        <f t="shared" si="44"/>
        <v>8.8429828911480293</v>
      </c>
      <c r="Y934" s="661" t="str">
        <f t="shared" si="42"/>
        <v/>
      </c>
      <c r="Z934" s="661" t="str">
        <f t="shared" si="43"/>
        <v/>
      </c>
    </row>
    <row r="935" spans="1:26" s="128" customFormat="1" ht="25" hidden="1">
      <c r="A935" s="655">
        <v>54409</v>
      </c>
      <c r="B935" s="656" t="s">
        <v>54</v>
      </c>
      <c r="C935" s="655" t="s">
        <v>2793</v>
      </c>
      <c r="D935" s="656" t="s">
        <v>965</v>
      </c>
      <c r="E935" s="656" t="s">
        <v>966</v>
      </c>
      <c r="F935" s="655">
        <v>4823</v>
      </c>
      <c r="G935" s="656" t="s">
        <v>96</v>
      </c>
      <c r="H935" s="656" t="s">
        <v>1183</v>
      </c>
      <c r="I935" s="656" t="s">
        <v>58</v>
      </c>
      <c r="J935" s="655">
        <v>611</v>
      </c>
      <c r="K935" s="655">
        <v>5</v>
      </c>
      <c r="L935" s="656" t="s">
        <v>413</v>
      </c>
      <c r="M935" s="656" t="s">
        <v>42</v>
      </c>
      <c r="N935" s="656" t="s">
        <v>426</v>
      </c>
      <c r="O935" s="656" t="s">
        <v>67</v>
      </c>
      <c r="P935" s="656" t="s">
        <v>1037</v>
      </c>
      <c r="Q935" s="657">
        <v>0</v>
      </c>
      <c r="R935" s="657">
        <v>0</v>
      </c>
      <c r="S935" s="657">
        <v>0</v>
      </c>
      <c r="T935" s="657">
        <v>0</v>
      </c>
      <c r="U935" s="657">
        <v>0</v>
      </c>
      <c r="V935" s="655">
        <v>2021</v>
      </c>
      <c r="W935" s="659"/>
      <c r="X935" s="660" t="str">
        <f t="shared" si="44"/>
        <v/>
      </c>
      <c r="Y935" s="661" t="str">
        <f t="shared" si="42"/>
        <v/>
      </c>
      <c r="Z935" s="661" t="str">
        <f t="shared" si="43"/>
        <v/>
      </c>
    </row>
    <row r="936" spans="1:26" s="128" customFormat="1" ht="25" hidden="1">
      <c r="A936" s="655">
        <v>54409</v>
      </c>
      <c r="B936" s="656" t="s">
        <v>54</v>
      </c>
      <c r="C936" s="655" t="s">
        <v>2793</v>
      </c>
      <c r="D936" s="656" t="s">
        <v>965</v>
      </c>
      <c r="E936" s="656" t="s">
        <v>966</v>
      </c>
      <c r="F936" s="655">
        <v>4823</v>
      </c>
      <c r="G936" s="656" t="s">
        <v>96</v>
      </c>
      <c r="H936" s="656" t="s">
        <v>1183</v>
      </c>
      <c r="I936" s="656" t="s">
        <v>58</v>
      </c>
      <c r="J936" s="655">
        <v>611</v>
      </c>
      <c r="K936" s="655">
        <v>5</v>
      </c>
      <c r="L936" s="656" t="s">
        <v>413</v>
      </c>
      <c r="M936" s="656" t="s">
        <v>42</v>
      </c>
      <c r="N936" s="656" t="s">
        <v>61</v>
      </c>
      <c r="O936" s="656" t="s">
        <v>61</v>
      </c>
      <c r="P936" s="656" t="s">
        <v>47</v>
      </c>
      <c r="Q936" s="657">
        <v>79831</v>
      </c>
      <c r="R936" s="657">
        <v>10308</v>
      </c>
      <c r="S936" s="657">
        <v>502936</v>
      </c>
      <c r="T936" s="657">
        <v>64930</v>
      </c>
      <c r="U936" s="657">
        <v>10521.59</v>
      </c>
      <c r="V936" s="655">
        <v>2021</v>
      </c>
      <c r="W936" s="659"/>
      <c r="X936" s="660" t="str">
        <f t="shared" si="44"/>
        <v/>
      </c>
      <c r="Y936" s="661" t="str">
        <f t="shared" si="42"/>
        <v/>
      </c>
      <c r="Z936" s="661" t="str">
        <f t="shared" si="43"/>
        <v/>
      </c>
    </row>
    <row r="937" spans="1:26" s="128" customFormat="1" ht="25" hidden="1">
      <c r="A937" s="655">
        <v>54418</v>
      </c>
      <c r="B937" s="656" t="s">
        <v>33</v>
      </c>
      <c r="C937" s="655" t="s">
        <v>2793</v>
      </c>
      <c r="D937" s="656" t="s">
        <v>967</v>
      </c>
      <c r="E937" s="656" t="s">
        <v>132</v>
      </c>
      <c r="F937" s="655">
        <v>7601</v>
      </c>
      <c r="G937" s="656" t="s">
        <v>96</v>
      </c>
      <c r="H937" s="656" t="s">
        <v>1183</v>
      </c>
      <c r="I937" s="656" t="s">
        <v>58</v>
      </c>
      <c r="J937" s="655">
        <v>22</v>
      </c>
      <c r="K937" s="655">
        <v>1</v>
      </c>
      <c r="L937" s="656" t="s">
        <v>34</v>
      </c>
      <c r="M937" s="656" t="s">
        <v>35</v>
      </c>
      <c r="N937" s="656" t="s">
        <v>36</v>
      </c>
      <c r="O937" s="656" t="s">
        <v>37</v>
      </c>
      <c r="P937" s="656" t="s">
        <v>1176</v>
      </c>
      <c r="Q937" s="657">
        <v>0</v>
      </c>
      <c r="R937" s="657">
        <v>0</v>
      </c>
      <c r="S937" s="657">
        <v>43931</v>
      </c>
      <c r="T937" s="657">
        <v>43931</v>
      </c>
      <c r="U937" s="657">
        <v>4968</v>
      </c>
      <c r="V937" s="655">
        <v>2021</v>
      </c>
      <c r="W937" s="659"/>
      <c r="X937" s="660">
        <f t="shared" si="44"/>
        <v>8.842793880837359</v>
      </c>
      <c r="Y937" s="661" t="str">
        <f t="shared" si="42"/>
        <v/>
      </c>
      <c r="Z937" s="661" t="str">
        <f t="shared" si="43"/>
        <v/>
      </c>
    </row>
    <row r="938" spans="1:26" s="128" customFormat="1" ht="25" hidden="1">
      <c r="A938" s="655">
        <v>54471</v>
      </c>
      <c r="B938" s="656" t="s">
        <v>33</v>
      </c>
      <c r="C938" s="655" t="s">
        <v>2793</v>
      </c>
      <c r="D938" s="656" t="s">
        <v>968</v>
      </c>
      <c r="E938" s="656" t="s">
        <v>132</v>
      </c>
      <c r="F938" s="655">
        <v>7601</v>
      </c>
      <c r="G938" s="656" t="s">
        <v>96</v>
      </c>
      <c r="H938" s="656" t="s">
        <v>1183</v>
      </c>
      <c r="I938" s="656" t="s">
        <v>58</v>
      </c>
      <c r="J938" s="655">
        <v>22</v>
      </c>
      <c r="K938" s="655">
        <v>1</v>
      </c>
      <c r="L938" s="656" t="s">
        <v>34</v>
      </c>
      <c r="M938" s="656" t="s">
        <v>35</v>
      </c>
      <c r="N938" s="656" t="s">
        <v>36</v>
      </c>
      <c r="O938" s="656" t="s">
        <v>37</v>
      </c>
      <c r="P938" s="656" t="s">
        <v>1176</v>
      </c>
      <c r="Q938" s="657">
        <v>0</v>
      </c>
      <c r="R938" s="657">
        <v>0</v>
      </c>
      <c r="S938" s="657">
        <v>6092</v>
      </c>
      <c r="T938" s="657">
        <v>6092</v>
      </c>
      <c r="U938" s="657">
        <v>689</v>
      </c>
      <c r="V938" s="655">
        <v>2021</v>
      </c>
      <c r="W938" s="659"/>
      <c r="X938" s="660">
        <f t="shared" si="44"/>
        <v>8.8417997097242385</v>
      </c>
      <c r="Y938" s="661" t="str">
        <f t="shared" si="42"/>
        <v/>
      </c>
      <c r="Z938" s="661" t="str">
        <f t="shared" si="43"/>
        <v/>
      </c>
    </row>
    <row r="939" spans="1:26" s="128" customFormat="1" hidden="1">
      <c r="A939" s="655">
        <v>54547</v>
      </c>
      <c r="B939" s="656" t="s">
        <v>54</v>
      </c>
      <c r="C939" s="655" t="s">
        <v>2793</v>
      </c>
      <c r="D939" s="656" t="s">
        <v>23</v>
      </c>
      <c r="E939" s="656" t="s">
        <v>24</v>
      </c>
      <c r="F939" s="655">
        <v>17254</v>
      </c>
      <c r="G939" s="656" t="s">
        <v>57</v>
      </c>
      <c r="H939" s="656" t="s">
        <v>1182</v>
      </c>
      <c r="I939" s="656" t="s">
        <v>58</v>
      </c>
      <c r="J939" s="655">
        <v>22</v>
      </c>
      <c r="K939" s="655">
        <v>3</v>
      </c>
      <c r="L939" s="656" t="s">
        <v>55</v>
      </c>
      <c r="M939" s="656" t="s">
        <v>38</v>
      </c>
      <c r="N939" s="656" t="s">
        <v>39</v>
      </c>
      <c r="O939" s="656" t="s">
        <v>39</v>
      </c>
      <c r="P939" s="656" t="s">
        <v>1037</v>
      </c>
      <c r="Q939" s="657">
        <v>784499</v>
      </c>
      <c r="R939" s="657">
        <v>784499</v>
      </c>
      <c r="S939" s="657">
        <v>808033</v>
      </c>
      <c r="T939" s="657">
        <v>808033</v>
      </c>
      <c r="U939" s="657">
        <v>1294268.1000000001</v>
      </c>
      <c r="V939" s="655">
        <v>2021</v>
      </c>
      <c r="W939" s="659"/>
      <c r="X939" s="660">
        <f t="shared" si="44"/>
        <v>0.62431655388864171</v>
      </c>
      <c r="Y939" s="661" t="str">
        <f t="shared" si="42"/>
        <v/>
      </c>
      <c r="Z939" s="661" t="str">
        <f t="shared" si="43"/>
        <v/>
      </c>
    </row>
    <row r="940" spans="1:26" s="128" customFormat="1" hidden="1">
      <c r="A940" s="655">
        <v>54547</v>
      </c>
      <c r="B940" s="656" t="s">
        <v>54</v>
      </c>
      <c r="C940" s="655" t="s">
        <v>2793</v>
      </c>
      <c r="D940" s="656" t="s">
        <v>23</v>
      </c>
      <c r="E940" s="656" t="s">
        <v>24</v>
      </c>
      <c r="F940" s="655">
        <v>17254</v>
      </c>
      <c r="G940" s="656" t="s">
        <v>57</v>
      </c>
      <c r="H940" s="656" t="s">
        <v>1182</v>
      </c>
      <c r="I940" s="656" t="s">
        <v>58</v>
      </c>
      <c r="J940" s="655">
        <v>22</v>
      </c>
      <c r="K940" s="655">
        <v>3</v>
      </c>
      <c r="L940" s="656" t="s">
        <v>55</v>
      </c>
      <c r="M940" s="656" t="s">
        <v>41</v>
      </c>
      <c r="N940" s="656" t="s">
        <v>39</v>
      </c>
      <c r="O940" s="656" t="s">
        <v>39</v>
      </c>
      <c r="P940" s="656" t="s">
        <v>1037</v>
      </c>
      <c r="Q940" s="657">
        <v>24244637</v>
      </c>
      <c r="R940" s="657">
        <v>22347301</v>
      </c>
      <c r="S940" s="657">
        <v>24971976</v>
      </c>
      <c r="T940" s="657">
        <v>23017720</v>
      </c>
      <c r="U940" s="657">
        <v>2227921.2000000002</v>
      </c>
      <c r="V940" s="655">
        <v>2021</v>
      </c>
      <c r="W940" s="659"/>
      <c r="X940" s="660">
        <f t="shared" si="44"/>
        <v>10.331478510101704</v>
      </c>
      <c r="Y940" s="661" t="str">
        <f t="shared" si="42"/>
        <v/>
      </c>
      <c r="Z940" s="661" t="str">
        <f t="shared" si="43"/>
        <v/>
      </c>
    </row>
    <row r="941" spans="1:26" s="128" customFormat="1" ht="25" hidden="1">
      <c r="A941" s="655">
        <v>54548</v>
      </c>
      <c r="B941" s="656" t="s">
        <v>33</v>
      </c>
      <c r="C941" s="655" t="s">
        <v>2793</v>
      </c>
      <c r="D941" s="656" t="s">
        <v>969</v>
      </c>
      <c r="E941" s="656" t="s">
        <v>1837</v>
      </c>
      <c r="F941" s="655">
        <v>59827</v>
      </c>
      <c r="G941" s="656" t="s">
        <v>57</v>
      </c>
      <c r="H941" s="656" t="s">
        <v>1182</v>
      </c>
      <c r="I941" s="656" t="s">
        <v>58</v>
      </c>
      <c r="J941" s="655">
        <v>22</v>
      </c>
      <c r="K941" s="655">
        <v>2</v>
      </c>
      <c r="L941" s="656" t="s">
        <v>52</v>
      </c>
      <c r="M941" s="656" t="s">
        <v>35</v>
      </c>
      <c r="N941" s="656" t="s">
        <v>36</v>
      </c>
      <c r="O941" s="656" t="s">
        <v>37</v>
      </c>
      <c r="P941" s="656" t="s">
        <v>1176</v>
      </c>
      <c r="Q941" s="657">
        <v>0</v>
      </c>
      <c r="R941" s="657">
        <v>0</v>
      </c>
      <c r="S941" s="657">
        <v>0</v>
      </c>
      <c r="T941" s="657">
        <v>0</v>
      </c>
      <c r="U941" s="657">
        <v>0</v>
      </c>
      <c r="V941" s="655">
        <v>2021</v>
      </c>
      <c r="W941" s="659"/>
      <c r="X941" s="660" t="str">
        <f t="shared" si="44"/>
        <v/>
      </c>
      <c r="Y941" s="661" t="str">
        <f t="shared" si="42"/>
        <v/>
      </c>
      <c r="Z941" s="661" t="str">
        <f t="shared" si="43"/>
        <v/>
      </c>
    </row>
    <row r="942" spans="1:26" s="128" customFormat="1" ht="25" hidden="1">
      <c r="A942" s="655">
        <v>54572</v>
      </c>
      <c r="B942" s="656" t="s">
        <v>33</v>
      </c>
      <c r="C942" s="655" t="s">
        <v>2793</v>
      </c>
      <c r="D942" s="656" t="s">
        <v>970</v>
      </c>
      <c r="E942" s="656" t="s">
        <v>3104</v>
      </c>
      <c r="F942" s="655">
        <v>57280</v>
      </c>
      <c r="G942" s="656" t="s">
        <v>96</v>
      </c>
      <c r="H942" s="656" t="s">
        <v>1183</v>
      </c>
      <c r="I942" s="656" t="s">
        <v>58</v>
      </c>
      <c r="J942" s="655">
        <v>22</v>
      </c>
      <c r="K942" s="655">
        <v>2</v>
      </c>
      <c r="L942" s="656" t="s">
        <v>52</v>
      </c>
      <c r="M942" s="656" t="s">
        <v>35</v>
      </c>
      <c r="N942" s="656" t="s">
        <v>36</v>
      </c>
      <c r="O942" s="656" t="s">
        <v>37</v>
      </c>
      <c r="P942" s="656" t="s">
        <v>1176</v>
      </c>
      <c r="Q942" s="657">
        <v>0</v>
      </c>
      <c r="R942" s="657">
        <v>0</v>
      </c>
      <c r="S942" s="657">
        <v>29846</v>
      </c>
      <c r="T942" s="657">
        <v>29846</v>
      </c>
      <c r="U942" s="657">
        <v>3375</v>
      </c>
      <c r="V942" s="655">
        <v>2021</v>
      </c>
      <c r="W942" s="659"/>
      <c r="X942" s="660">
        <f t="shared" si="44"/>
        <v>8.8432592592592592</v>
      </c>
      <c r="Y942" s="661" t="str">
        <f t="shared" si="42"/>
        <v/>
      </c>
      <c r="Z942" s="661" t="str">
        <f t="shared" si="43"/>
        <v/>
      </c>
    </row>
    <row r="943" spans="1:26" s="128" customFormat="1" ht="25" hidden="1">
      <c r="A943" s="655">
        <v>54573</v>
      </c>
      <c r="B943" s="656" t="s">
        <v>33</v>
      </c>
      <c r="C943" s="655" t="s">
        <v>2793</v>
      </c>
      <c r="D943" s="656" t="s">
        <v>971</v>
      </c>
      <c r="E943" s="656" t="s">
        <v>972</v>
      </c>
      <c r="F943" s="655">
        <v>54838</v>
      </c>
      <c r="G943" s="656" t="s">
        <v>57</v>
      </c>
      <c r="H943" s="656" t="s">
        <v>1182</v>
      </c>
      <c r="I943" s="656" t="s">
        <v>58</v>
      </c>
      <c r="J943" s="655">
        <v>22</v>
      </c>
      <c r="K943" s="655">
        <v>2</v>
      </c>
      <c r="L943" s="656" t="s">
        <v>52</v>
      </c>
      <c r="M943" s="656" t="s">
        <v>35</v>
      </c>
      <c r="N943" s="656" t="s">
        <v>36</v>
      </c>
      <c r="O943" s="656" t="s">
        <v>37</v>
      </c>
      <c r="P943" s="656" t="s">
        <v>1176</v>
      </c>
      <c r="Q943" s="657">
        <v>0</v>
      </c>
      <c r="R943" s="657">
        <v>0</v>
      </c>
      <c r="S943" s="657">
        <v>96081</v>
      </c>
      <c r="T943" s="657">
        <v>96081</v>
      </c>
      <c r="U943" s="657">
        <v>10865</v>
      </c>
      <c r="V943" s="655">
        <v>2021</v>
      </c>
      <c r="W943" s="659"/>
      <c r="X943" s="660">
        <f t="shared" si="44"/>
        <v>8.8431661297745059</v>
      </c>
      <c r="Y943" s="661" t="str">
        <f t="shared" si="42"/>
        <v/>
      </c>
      <c r="Z943" s="661" t="str">
        <f t="shared" si="43"/>
        <v/>
      </c>
    </row>
    <row r="944" spans="1:26" s="128" customFormat="1" hidden="1">
      <c r="A944" s="655">
        <v>54574</v>
      </c>
      <c r="B944" s="656" t="s">
        <v>33</v>
      </c>
      <c r="C944" s="655" t="s">
        <v>2793</v>
      </c>
      <c r="D944" s="656" t="s">
        <v>25</v>
      </c>
      <c r="E944" s="656" t="s">
        <v>26</v>
      </c>
      <c r="F944" s="655">
        <v>16729</v>
      </c>
      <c r="G944" s="656" t="s">
        <v>57</v>
      </c>
      <c r="H944" s="656" t="s">
        <v>1182</v>
      </c>
      <c r="I944" s="656" t="s">
        <v>58</v>
      </c>
      <c r="J944" s="655">
        <v>22</v>
      </c>
      <c r="K944" s="655">
        <v>2</v>
      </c>
      <c r="L944" s="656" t="s">
        <v>52</v>
      </c>
      <c r="M944" s="656" t="s">
        <v>38</v>
      </c>
      <c r="N944" s="656" t="s">
        <v>39</v>
      </c>
      <c r="O944" s="656" t="s">
        <v>39</v>
      </c>
      <c r="P944" s="656" t="s">
        <v>1037</v>
      </c>
      <c r="Q944" s="657">
        <v>23515</v>
      </c>
      <c r="R944" s="657">
        <v>23515</v>
      </c>
      <c r="S944" s="657">
        <v>24518</v>
      </c>
      <c r="T944" s="657">
        <v>24518</v>
      </c>
      <c r="U944" s="657">
        <v>16129</v>
      </c>
      <c r="V944" s="655">
        <v>2021</v>
      </c>
      <c r="W944" s="659" t="s">
        <v>3675</v>
      </c>
      <c r="X944" s="660">
        <f t="shared" si="44"/>
        <v>1.5201190402380804</v>
      </c>
      <c r="Y944" s="661" t="str">
        <f t="shared" si="42"/>
        <v/>
      </c>
      <c r="Z944" s="661" t="str">
        <f t="shared" si="43"/>
        <v/>
      </c>
    </row>
    <row r="945" spans="1:26" s="128" customFormat="1" hidden="1">
      <c r="A945" s="655">
        <v>54574</v>
      </c>
      <c r="B945" s="656" t="s">
        <v>33</v>
      </c>
      <c r="C945" s="655" t="s">
        <v>2793</v>
      </c>
      <c r="D945" s="656" t="s">
        <v>25</v>
      </c>
      <c r="E945" s="656" t="s">
        <v>26</v>
      </c>
      <c r="F945" s="655">
        <v>16729</v>
      </c>
      <c r="G945" s="656" t="s">
        <v>57</v>
      </c>
      <c r="H945" s="656" t="s">
        <v>1182</v>
      </c>
      <c r="I945" s="656" t="s">
        <v>58</v>
      </c>
      <c r="J945" s="655">
        <v>22</v>
      </c>
      <c r="K945" s="655">
        <v>2</v>
      </c>
      <c r="L945" s="656" t="s">
        <v>52</v>
      </c>
      <c r="M945" s="656" t="s">
        <v>41</v>
      </c>
      <c r="N945" s="656" t="s">
        <v>39</v>
      </c>
      <c r="O945" s="656" t="s">
        <v>39</v>
      </c>
      <c r="P945" s="656" t="s">
        <v>1037</v>
      </c>
      <c r="Q945" s="657">
        <v>383034</v>
      </c>
      <c r="R945" s="657">
        <v>383034</v>
      </c>
      <c r="S945" s="657">
        <v>398655</v>
      </c>
      <c r="T945" s="657">
        <v>398655</v>
      </c>
      <c r="U945" s="657">
        <v>31160</v>
      </c>
      <c r="V945" s="655">
        <v>2021</v>
      </c>
      <c r="W945" s="659" t="s">
        <v>3675</v>
      </c>
      <c r="X945" s="660">
        <f t="shared" si="44"/>
        <v>12.793806161745827</v>
      </c>
      <c r="Y945" s="661" t="str">
        <f t="shared" si="42"/>
        <v/>
      </c>
      <c r="Z945" s="661" t="str">
        <f t="shared" si="43"/>
        <v/>
      </c>
    </row>
    <row r="946" spans="1:26" s="128" customFormat="1" hidden="1">
      <c r="A946" s="655">
        <v>54580</v>
      </c>
      <c r="B946" s="656" t="s">
        <v>33</v>
      </c>
      <c r="C946" s="655" t="s">
        <v>2793</v>
      </c>
      <c r="D946" s="656" t="s">
        <v>27</v>
      </c>
      <c r="E946" s="656" t="s">
        <v>1164</v>
      </c>
      <c r="F946" s="655">
        <v>24931</v>
      </c>
      <c r="G946" s="656" t="s">
        <v>57</v>
      </c>
      <c r="H946" s="656" t="s">
        <v>1182</v>
      </c>
      <c r="I946" s="656" t="s">
        <v>58</v>
      </c>
      <c r="J946" s="655">
        <v>22</v>
      </c>
      <c r="K946" s="655">
        <v>2</v>
      </c>
      <c r="L946" s="656" t="s">
        <v>52</v>
      </c>
      <c r="M946" s="656" t="s">
        <v>35</v>
      </c>
      <c r="N946" s="656" t="s">
        <v>36</v>
      </c>
      <c r="O946" s="656" t="s">
        <v>37</v>
      </c>
      <c r="P946" s="656" t="s">
        <v>1176</v>
      </c>
      <c r="Q946" s="657">
        <v>0</v>
      </c>
      <c r="R946" s="657">
        <v>0</v>
      </c>
      <c r="S946" s="657">
        <v>3055839</v>
      </c>
      <c r="T946" s="657">
        <v>3055839</v>
      </c>
      <c r="U946" s="657">
        <v>345566</v>
      </c>
      <c r="V946" s="655">
        <v>2021</v>
      </c>
      <c r="W946" s="659"/>
      <c r="X946" s="660">
        <f t="shared" si="44"/>
        <v>8.8429967068519471</v>
      </c>
      <c r="Y946" s="661" t="str">
        <f t="shared" si="42"/>
        <v/>
      </c>
      <c r="Z946" s="661" t="str">
        <f t="shared" si="43"/>
        <v/>
      </c>
    </row>
    <row r="947" spans="1:26" s="128" customFormat="1">
      <c r="A947" s="655">
        <v>54586</v>
      </c>
      <c r="B947" s="656" t="s">
        <v>33</v>
      </c>
      <c r="C947" s="655" t="s">
        <v>2793</v>
      </c>
      <c r="D947" s="656" t="s">
        <v>1838</v>
      </c>
      <c r="E947" s="656" t="s">
        <v>1839</v>
      </c>
      <c r="F947" s="655">
        <v>56171</v>
      </c>
      <c r="G947" s="656" t="s">
        <v>81</v>
      </c>
      <c r="H947" s="656" t="s">
        <v>1183</v>
      </c>
      <c r="I947" s="656" t="s">
        <v>58</v>
      </c>
      <c r="J947" s="655">
        <v>22</v>
      </c>
      <c r="K947" s="655">
        <v>2</v>
      </c>
      <c r="L947" s="656" t="s">
        <v>52</v>
      </c>
      <c r="M947" s="656" t="s">
        <v>38</v>
      </c>
      <c r="N947" s="656" t="s">
        <v>46</v>
      </c>
      <c r="O947" s="656" t="s">
        <v>46</v>
      </c>
      <c r="P947" s="656" t="s">
        <v>47</v>
      </c>
      <c r="Q947" s="657">
        <v>0</v>
      </c>
      <c r="R947" s="657">
        <v>0</v>
      </c>
      <c r="S947" s="657">
        <v>0</v>
      </c>
      <c r="T947" s="657">
        <v>0</v>
      </c>
      <c r="U947" s="657">
        <v>15.179</v>
      </c>
      <c r="V947" s="655">
        <v>2021</v>
      </c>
      <c r="W947" s="659" t="s">
        <v>3675</v>
      </c>
      <c r="X947" s="660" t="str">
        <f t="shared" si="44"/>
        <v/>
      </c>
      <c r="Y947" s="661" t="str">
        <f t="shared" si="42"/>
        <v/>
      </c>
      <c r="Z947" s="661" t="str">
        <f t="shared" si="43"/>
        <v/>
      </c>
    </row>
    <row r="948" spans="1:26" s="128" customFormat="1">
      <c r="A948" s="655">
        <v>54586</v>
      </c>
      <c r="B948" s="656" t="s">
        <v>33</v>
      </c>
      <c r="C948" s="655" t="s">
        <v>2793</v>
      </c>
      <c r="D948" s="656" t="s">
        <v>1838</v>
      </c>
      <c r="E948" s="656" t="s">
        <v>1839</v>
      </c>
      <c r="F948" s="655">
        <v>56171</v>
      </c>
      <c r="G948" s="656" t="s">
        <v>81</v>
      </c>
      <c r="H948" s="656" t="s">
        <v>1183</v>
      </c>
      <c r="I948" s="656" t="s">
        <v>58</v>
      </c>
      <c r="J948" s="655">
        <v>22</v>
      </c>
      <c r="K948" s="655">
        <v>2</v>
      </c>
      <c r="L948" s="656" t="s">
        <v>52</v>
      </c>
      <c r="M948" s="656" t="s">
        <v>38</v>
      </c>
      <c r="N948" s="656" t="s">
        <v>39</v>
      </c>
      <c r="O948" s="656" t="s">
        <v>39</v>
      </c>
      <c r="P948" s="656" t="s">
        <v>1037</v>
      </c>
      <c r="Q948" s="657">
        <v>11431</v>
      </c>
      <c r="R948" s="657">
        <v>11431</v>
      </c>
      <c r="S948" s="657">
        <v>13718</v>
      </c>
      <c r="T948" s="657">
        <v>13718</v>
      </c>
      <c r="U948" s="657">
        <v>4381.8209999999999</v>
      </c>
      <c r="V948" s="655">
        <v>2021</v>
      </c>
      <c r="W948" s="659" t="s">
        <v>3675</v>
      </c>
      <c r="X948" s="660">
        <f t="shared" si="44"/>
        <v>3.1306618869187033</v>
      </c>
      <c r="Y948" s="661" t="str">
        <f t="shared" si="42"/>
        <v/>
      </c>
      <c r="Z948" s="661" t="str">
        <f t="shared" si="43"/>
        <v/>
      </c>
    </row>
    <row r="949" spans="1:26" s="128" customFormat="1">
      <c r="A949" s="655">
        <v>54586</v>
      </c>
      <c r="B949" s="656" t="s">
        <v>33</v>
      </c>
      <c r="C949" s="655" t="s">
        <v>2793</v>
      </c>
      <c r="D949" s="656" t="s">
        <v>1838</v>
      </c>
      <c r="E949" s="656" t="s">
        <v>1839</v>
      </c>
      <c r="F949" s="655">
        <v>56171</v>
      </c>
      <c r="G949" s="656" t="s">
        <v>81</v>
      </c>
      <c r="H949" s="656" t="s">
        <v>1183</v>
      </c>
      <c r="I949" s="656" t="s">
        <v>58</v>
      </c>
      <c r="J949" s="655">
        <v>22</v>
      </c>
      <c r="K949" s="655">
        <v>2</v>
      </c>
      <c r="L949" s="656" t="s">
        <v>52</v>
      </c>
      <c r="M949" s="656" t="s">
        <v>41</v>
      </c>
      <c r="N949" s="656" t="s">
        <v>46</v>
      </c>
      <c r="O949" s="656" t="s">
        <v>46</v>
      </c>
      <c r="P949" s="656" t="s">
        <v>47</v>
      </c>
      <c r="Q949" s="657">
        <v>168</v>
      </c>
      <c r="R949" s="657">
        <v>168</v>
      </c>
      <c r="S949" s="657">
        <v>974</v>
      </c>
      <c r="T949" s="657">
        <v>974</v>
      </c>
      <c r="U949" s="657">
        <v>80.352000000000004</v>
      </c>
      <c r="V949" s="655">
        <v>2021</v>
      </c>
      <c r="W949" s="659" t="s">
        <v>3675</v>
      </c>
      <c r="X949" s="660">
        <f t="shared" si="44"/>
        <v>12.121664675428116</v>
      </c>
      <c r="Y949" s="661" t="str">
        <f t="shared" si="42"/>
        <v/>
      </c>
      <c r="Z949" s="661" t="str">
        <f t="shared" si="43"/>
        <v/>
      </c>
    </row>
    <row r="950" spans="1:26" s="128" customFormat="1">
      <c r="A950" s="655">
        <v>54586</v>
      </c>
      <c r="B950" s="656" t="s">
        <v>33</v>
      </c>
      <c r="C950" s="655" t="s">
        <v>2793</v>
      </c>
      <c r="D950" s="656" t="s">
        <v>1838</v>
      </c>
      <c r="E950" s="656" t="s">
        <v>1839</v>
      </c>
      <c r="F950" s="655">
        <v>56171</v>
      </c>
      <c r="G950" s="656" t="s">
        <v>81</v>
      </c>
      <c r="H950" s="656" t="s">
        <v>1183</v>
      </c>
      <c r="I950" s="656" t="s">
        <v>58</v>
      </c>
      <c r="J950" s="655">
        <v>22</v>
      </c>
      <c r="K950" s="655">
        <v>2</v>
      </c>
      <c r="L950" s="656" t="s">
        <v>52</v>
      </c>
      <c r="M950" s="656" t="s">
        <v>41</v>
      </c>
      <c r="N950" s="656" t="s">
        <v>39</v>
      </c>
      <c r="O950" s="656" t="s">
        <v>39</v>
      </c>
      <c r="P950" s="656" t="s">
        <v>1037</v>
      </c>
      <c r="Q950" s="657">
        <v>195590</v>
      </c>
      <c r="R950" s="657">
        <v>195590</v>
      </c>
      <c r="S950" s="657">
        <v>234707</v>
      </c>
      <c r="T950" s="657">
        <v>234707</v>
      </c>
      <c r="U950" s="657">
        <v>19901.648000000001</v>
      </c>
      <c r="V950" s="655">
        <v>2021</v>
      </c>
      <c r="W950" s="659" t="s">
        <v>3675</v>
      </c>
      <c r="X950" s="660">
        <f t="shared" si="44"/>
        <v>11.793344953141569</v>
      </c>
      <c r="Y950" s="661" t="str">
        <f t="shared" si="42"/>
        <v/>
      </c>
      <c r="Z950" s="661" t="str">
        <f t="shared" si="43"/>
        <v/>
      </c>
    </row>
    <row r="951" spans="1:26" s="128" customFormat="1" hidden="1">
      <c r="A951" s="655">
        <v>54592</v>
      </c>
      <c r="B951" s="656" t="s">
        <v>33</v>
      </c>
      <c r="C951" s="655" t="s">
        <v>2793</v>
      </c>
      <c r="D951" s="656" t="s">
        <v>305</v>
      </c>
      <c r="E951" s="656" t="s">
        <v>1196</v>
      </c>
      <c r="F951" s="655">
        <v>15253</v>
      </c>
      <c r="G951" s="656" t="s">
        <v>57</v>
      </c>
      <c r="H951" s="656" t="s">
        <v>1182</v>
      </c>
      <c r="I951" s="656" t="s">
        <v>58</v>
      </c>
      <c r="J951" s="655">
        <v>22</v>
      </c>
      <c r="K951" s="655">
        <v>2</v>
      </c>
      <c r="L951" s="656" t="s">
        <v>52</v>
      </c>
      <c r="M951" s="656" t="s">
        <v>38</v>
      </c>
      <c r="N951" s="656" t="s">
        <v>46</v>
      </c>
      <c r="O951" s="656" t="s">
        <v>46</v>
      </c>
      <c r="P951" s="656" t="s">
        <v>47</v>
      </c>
      <c r="Q951" s="657">
        <v>0</v>
      </c>
      <c r="R951" s="657">
        <v>0</v>
      </c>
      <c r="S951" s="657">
        <v>0</v>
      </c>
      <c r="T951" s="657">
        <v>0</v>
      </c>
      <c r="U951" s="657">
        <v>0</v>
      </c>
      <c r="V951" s="655">
        <v>2021</v>
      </c>
      <c r="W951" s="659" t="s">
        <v>3675</v>
      </c>
      <c r="X951" s="660" t="str">
        <f t="shared" si="44"/>
        <v/>
      </c>
      <c r="Y951" s="661" t="str">
        <f t="shared" si="42"/>
        <v/>
      </c>
      <c r="Z951" s="661" t="str">
        <f t="shared" si="43"/>
        <v/>
      </c>
    </row>
    <row r="952" spans="1:26" s="128" customFormat="1" hidden="1">
      <c r="A952" s="655">
        <v>54592</v>
      </c>
      <c r="B952" s="656" t="s">
        <v>33</v>
      </c>
      <c r="C952" s="655" t="s">
        <v>2793</v>
      </c>
      <c r="D952" s="656" t="s">
        <v>305</v>
      </c>
      <c r="E952" s="656" t="s">
        <v>1196</v>
      </c>
      <c r="F952" s="655">
        <v>15253</v>
      </c>
      <c r="G952" s="656" t="s">
        <v>57</v>
      </c>
      <c r="H952" s="656" t="s">
        <v>1182</v>
      </c>
      <c r="I952" s="656" t="s">
        <v>58</v>
      </c>
      <c r="J952" s="655">
        <v>22</v>
      </c>
      <c r="K952" s="655">
        <v>2</v>
      </c>
      <c r="L952" s="656" t="s">
        <v>52</v>
      </c>
      <c r="M952" s="656" t="s">
        <v>38</v>
      </c>
      <c r="N952" s="656" t="s">
        <v>39</v>
      </c>
      <c r="O952" s="656" t="s">
        <v>39</v>
      </c>
      <c r="P952" s="656" t="s">
        <v>1037</v>
      </c>
      <c r="Q952" s="657">
        <v>17600</v>
      </c>
      <c r="R952" s="657">
        <v>17600</v>
      </c>
      <c r="S952" s="657">
        <v>18283</v>
      </c>
      <c r="T952" s="657">
        <v>18283</v>
      </c>
      <c r="U952" s="657">
        <v>5862</v>
      </c>
      <c r="V952" s="655">
        <v>2021</v>
      </c>
      <c r="W952" s="659" t="s">
        <v>3675</v>
      </c>
      <c r="X952" s="660">
        <f t="shared" si="44"/>
        <v>3.1189013988399865</v>
      </c>
      <c r="Y952" s="661" t="str">
        <f t="shared" si="42"/>
        <v/>
      </c>
      <c r="Z952" s="661" t="str">
        <f t="shared" si="43"/>
        <v/>
      </c>
    </row>
    <row r="953" spans="1:26" s="128" customFormat="1" hidden="1">
      <c r="A953" s="655">
        <v>54592</v>
      </c>
      <c r="B953" s="656" t="s">
        <v>33</v>
      </c>
      <c r="C953" s="655" t="s">
        <v>2793</v>
      </c>
      <c r="D953" s="656" t="s">
        <v>305</v>
      </c>
      <c r="E953" s="656" t="s">
        <v>1196</v>
      </c>
      <c r="F953" s="655">
        <v>15253</v>
      </c>
      <c r="G953" s="656" t="s">
        <v>57</v>
      </c>
      <c r="H953" s="656" t="s">
        <v>1182</v>
      </c>
      <c r="I953" s="656" t="s">
        <v>58</v>
      </c>
      <c r="J953" s="655">
        <v>22</v>
      </c>
      <c r="K953" s="655">
        <v>2</v>
      </c>
      <c r="L953" s="656" t="s">
        <v>52</v>
      </c>
      <c r="M953" s="656" t="s">
        <v>38</v>
      </c>
      <c r="N953" s="656" t="s">
        <v>424</v>
      </c>
      <c r="O953" s="656" t="s">
        <v>49</v>
      </c>
      <c r="P953" s="656" t="s">
        <v>47</v>
      </c>
      <c r="Q953" s="657">
        <v>0</v>
      </c>
      <c r="R953" s="657">
        <v>0</v>
      </c>
      <c r="S953" s="657">
        <v>0</v>
      </c>
      <c r="T953" s="657">
        <v>0</v>
      </c>
      <c r="U953" s="657">
        <v>0</v>
      </c>
      <c r="V953" s="655">
        <v>2021</v>
      </c>
      <c r="W953" s="659" t="s">
        <v>3675</v>
      </c>
      <c r="X953" s="660" t="str">
        <f t="shared" si="44"/>
        <v/>
      </c>
      <c r="Y953" s="661" t="str">
        <f t="shared" si="42"/>
        <v/>
      </c>
      <c r="Z953" s="661" t="str">
        <f t="shared" si="43"/>
        <v/>
      </c>
    </row>
    <row r="954" spans="1:26" s="128" customFormat="1" hidden="1">
      <c r="A954" s="655">
        <v>54592</v>
      </c>
      <c r="B954" s="656" t="s">
        <v>33</v>
      </c>
      <c r="C954" s="655" t="s">
        <v>2793</v>
      </c>
      <c r="D954" s="656" t="s">
        <v>305</v>
      </c>
      <c r="E954" s="656" t="s">
        <v>1196</v>
      </c>
      <c r="F954" s="655">
        <v>15253</v>
      </c>
      <c r="G954" s="656" t="s">
        <v>57</v>
      </c>
      <c r="H954" s="656" t="s">
        <v>1182</v>
      </c>
      <c r="I954" s="656" t="s">
        <v>58</v>
      </c>
      <c r="J954" s="655">
        <v>22</v>
      </c>
      <c r="K954" s="655">
        <v>2</v>
      </c>
      <c r="L954" s="656" t="s">
        <v>52</v>
      </c>
      <c r="M954" s="656" t="s">
        <v>41</v>
      </c>
      <c r="N954" s="656" t="s">
        <v>46</v>
      </c>
      <c r="O954" s="656" t="s">
        <v>46</v>
      </c>
      <c r="P954" s="656" t="s">
        <v>47</v>
      </c>
      <c r="Q954" s="657">
        <v>0</v>
      </c>
      <c r="R954" s="657">
        <v>0</v>
      </c>
      <c r="S954" s="657">
        <v>0</v>
      </c>
      <c r="T954" s="657">
        <v>0</v>
      </c>
      <c r="U954" s="657">
        <v>0</v>
      </c>
      <c r="V954" s="655">
        <v>2021</v>
      </c>
      <c r="W954" s="659" t="s">
        <v>3675</v>
      </c>
      <c r="X954" s="660" t="str">
        <f t="shared" si="44"/>
        <v/>
      </c>
      <c r="Y954" s="661" t="str">
        <f t="shared" si="42"/>
        <v/>
      </c>
      <c r="Z954" s="661" t="str">
        <f t="shared" si="43"/>
        <v/>
      </c>
    </row>
    <row r="955" spans="1:26" s="128" customFormat="1" hidden="1">
      <c r="A955" s="655">
        <v>54592</v>
      </c>
      <c r="B955" s="656" t="s">
        <v>33</v>
      </c>
      <c r="C955" s="655" t="s">
        <v>2793</v>
      </c>
      <c r="D955" s="656" t="s">
        <v>305</v>
      </c>
      <c r="E955" s="656" t="s">
        <v>1196</v>
      </c>
      <c r="F955" s="655">
        <v>15253</v>
      </c>
      <c r="G955" s="656" t="s">
        <v>57</v>
      </c>
      <c r="H955" s="656" t="s">
        <v>1182</v>
      </c>
      <c r="I955" s="656" t="s">
        <v>58</v>
      </c>
      <c r="J955" s="655">
        <v>22</v>
      </c>
      <c r="K955" s="655">
        <v>2</v>
      </c>
      <c r="L955" s="656" t="s">
        <v>52</v>
      </c>
      <c r="M955" s="656" t="s">
        <v>41</v>
      </c>
      <c r="N955" s="656" t="s">
        <v>39</v>
      </c>
      <c r="O955" s="656" t="s">
        <v>39</v>
      </c>
      <c r="P955" s="656" t="s">
        <v>1037</v>
      </c>
      <c r="Q955" s="657">
        <v>122502</v>
      </c>
      <c r="R955" s="657">
        <v>122502</v>
      </c>
      <c r="S955" s="657">
        <v>127317</v>
      </c>
      <c r="T955" s="657">
        <v>127317</v>
      </c>
      <c r="U955" s="657">
        <v>11485</v>
      </c>
      <c r="V955" s="655">
        <v>2021</v>
      </c>
      <c r="W955" s="659" t="s">
        <v>3675</v>
      </c>
      <c r="X955" s="660">
        <f t="shared" si="44"/>
        <v>11.085502829777971</v>
      </c>
      <c r="Y955" s="661" t="str">
        <f t="shared" si="42"/>
        <v/>
      </c>
      <c r="Z955" s="661" t="str">
        <f t="shared" si="43"/>
        <v/>
      </c>
    </row>
    <row r="956" spans="1:26" s="128" customFormat="1" hidden="1">
      <c r="A956" s="655">
        <v>54592</v>
      </c>
      <c r="B956" s="656" t="s">
        <v>33</v>
      </c>
      <c r="C956" s="655" t="s">
        <v>2793</v>
      </c>
      <c r="D956" s="656" t="s">
        <v>305</v>
      </c>
      <c r="E956" s="656" t="s">
        <v>1196</v>
      </c>
      <c r="F956" s="655">
        <v>15253</v>
      </c>
      <c r="G956" s="656" t="s">
        <v>57</v>
      </c>
      <c r="H956" s="656" t="s">
        <v>1182</v>
      </c>
      <c r="I956" s="656" t="s">
        <v>58</v>
      </c>
      <c r="J956" s="655">
        <v>22</v>
      </c>
      <c r="K956" s="655">
        <v>2</v>
      </c>
      <c r="L956" s="656" t="s">
        <v>52</v>
      </c>
      <c r="M956" s="656" t="s">
        <v>41</v>
      </c>
      <c r="N956" s="656" t="s">
        <v>424</v>
      </c>
      <c r="O956" s="656" t="s">
        <v>49</v>
      </c>
      <c r="P956" s="656" t="s">
        <v>47</v>
      </c>
      <c r="Q956" s="657">
        <v>0</v>
      </c>
      <c r="R956" s="657">
        <v>0</v>
      </c>
      <c r="S956" s="657">
        <v>0</v>
      </c>
      <c r="T956" s="657">
        <v>0</v>
      </c>
      <c r="U956" s="657">
        <v>0</v>
      </c>
      <c r="V956" s="655">
        <v>2021</v>
      </c>
      <c r="W956" s="659" t="s">
        <v>3675</v>
      </c>
      <c r="X956" s="660" t="str">
        <f t="shared" si="44"/>
        <v/>
      </c>
      <c r="Y956" s="661" t="str">
        <f t="shared" si="42"/>
        <v/>
      </c>
      <c r="Z956" s="661" t="str">
        <f t="shared" si="43"/>
        <v/>
      </c>
    </row>
    <row r="957" spans="1:26" s="128" customFormat="1" hidden="1">
      <c r="A957" s="655">
        <v>54592</v>
      </c>
      <c r="B957" s="656" t="s">
        <v>33</v>
      </c>
      <c r="C957" s="655" t="s">
        <v>2793</v>
      </c>
      <c r="D957" s="656" t="s">
        <v>305</v>
      </c>
      <c r="E957" s="656" t="s">
        <v>1196</v>
      </c>
      <c r="F957" s="655">
        <v>15253</v>
      </c>
      <c r="G957" s="656" t="s">
        <v>57</v>
      </c>
      <c r="H957" s="656" t="s">
        <v>1182</v>
      </c>
      <c r="I957" s="656" t="s">
        <v>58</v>
      </c>
      <c r="J957" s="655">
        <v>22</v>
      </c>
      <c r="K957" s="655">
        <v>2</v>
      </c>
      <c r="L957" s="656" t="s">
        <v>52</v>
      </c>
      <c r="M957" s="656" t="s">
        <v>51</v>
      </c>
      <c r="N957" s="656" t="s">
        <v>46</v>
      </c>
      <c r="O957" s="656" t="s">
        <v>46</v>
      </c>
      <c r="P957" s="656" t="s">
        <v>47</v>
      </c>
      <c r="Q957" s="657">
        <v>0</v>
      </c>
      <c r="R957" s="657">
        <v>0</v>
      </c>
      <c r="S957" s="657">
        <v>0</v>
      </c>
      <c r="T957" s="657">
        <v>0</v>
      </c>
      <c r="U957" s="657">
        <v>0</v>
      </c>
      <c r="V957" s="655">
        <v>2021</v>
      </c>
      <c r="W957" s="659"/>
      <c r="X957" s="660" t="str">
        <f t="shared" si="44"/>
        <v/>
      </c>
      <c r="Y957" s="661" t="str">
        <f t="shared" si="42"/>
        <v/>
      </c>
      <c r="Z957" s="661" t="str">
        <f t="shared" si="43"/>
        <v/>
      </c>
    </row>
    <row r="958" spans="1:26" s="128" customFormat="1" hidden="1">
      <c r="A958" s="655">
        <v>54593</v>
      </c>
      <c r="B958" s="656" t="s">
        <v>33</v>
      </c>
      <c r="C958" s="655" t="s">
        <v>2793</v>
      </c>
      <c r="D958" s="656" t="s">
        <v>974</v>
      </c>
      <c r="E958" s="656" t="s">
        <v>975</v>
      </c>
      <c r="F958" s="655">
        <v>16839</v>
      </c>
      <c r="G958" s="656" t="s">
        <v>57</v>
      </c>
      <c r="H958" s="656" t="s">
        <v>1182</v>
      </c>
      <c r="I958" s="656" t="s">
        <v>58</v>
      </c>
      <c r="J958" s="655">
        <v>22</v>
      </c>
      <c r="K958" s="655">
        <v>2</v>
      </c>
      <c r="L958" s="656" t="s">
        <v>52</v>
      </c>
      <c r="M958" s="656" t="s">
        <v>38</v>
      </c>
      <c r="N958" s="656" t="s">
        <v>39</v>
      </c>
      <c r="O958" s="656" t="s">
        <v>39</v>
      </c>
      <c r="P958" s="656" t="s">
        <v>1037</v>
      </c>
      <c r="Q958" s="657">
        <v>0</v>
      </c>
      <c r="R958" s="657">
        <v>0</v>
      </c>
      <c r="S958" s="657">
        <v>0</v>
      </c>
      <c r="T958" s="657">
        <v>0</v>
      </c>
      <c r="U958" s="657">
        <v>4621</v>
      </c>
      <c r="V958" s="655">
        <v>2021</v>
      </c>
      <c r="W958" s="659" t="s">
        <v>3675</v>
      </c>
      <c r="X958" s="660" t="str">
        <f t="shared" si="44"/>
        <v/>
      </c>
      <c r="Y958" s="661" t="str">
        <f t="shared" si="42"/>
        <v/>
      </c>
      <c r="Z958" s="661" t="str">
        <f t="shared" si="43"/>
        <v/>
      </c>
    </row>
    <row r="959" spans="1:26" s="128" customFormat="1" hidden="1">
      <c r="A959" s="655">
        <v>54593</v>
      </c>
      <c r="B959" s="656" t="s">
        <v>33</v>
      </c>
      <c r="C959" s="655" t="s">
        <v>2793</v>
      </c>
      <c r="D959" s="656" t="s">
        <v>974</v>
      </c>
      <c r="E959" s="656" t="s">
        <v>975</v>
      </c>
      <c r="F959" s="655">
        <v>16839</v>
      </c>
      <c r="G959" s="656" t="s">
        <v>57</v>
      </c>
      <c r="H959" s="656" t="s">
        <v>1182</v>
      </c>
      <c r="I959" s="656" t="s">
        <v>58</v>
      </c>
      <c r="J959" s="655">
        <v>22</v>
      </c>
      <c r="K959" s="655">
        <v>2</v>
      </c>
      <c r="L959" s="656" t="s">
        <v>52</v>
      </c>
      <c r="M959" s="656" t="s">
        <v>41</v>
      </c>
      <c r="N959" s="656" t="s">
        <v>39</v>
      </c>
      <c r="O959" s="656" t="s">
        <v>39</v>
      </c>
      <c r="P959" s="656" t="s">
        <v>1037</v>
      </c>
      <c r="Q959" s="657">
        <v>143076</v>
      </c>
      <c r="R959" s="657">
        <v>143076</v>
      </c>
      <c r="S959" s="657">
        <v>147369</v>
      </c>
      <c r="T959" s="657">
        <v>147369</v>
      </c>
      <c r="U959" s="657">
        <v>11172</v>
      </c>
      <c r="V959" s="655">
        <v>2021</v>
      </c>
      <c r="W959" s="659" t="s">
        <v>3675</v>
      </c>
      <c r="X959" s="660">
        <f t="shared" si="44"/>
        <v>13.190923737916219</v>
      </c>
      <c r="Y959" s="661" t="str">
        <f t="shared" si="42"/>
        <v/>
      </c>
      <c r="Z959" s="661" t="str">
        <f t="shared" si="43"/>
        <v/>
      </c>
    </row>
    <row r="960" spans="1:26" s="128" customFormat="1" hidden="1">
      <c r="A960" s="655">
        <v>54593</v>
      </c>
      <c r="B960" s="656" t="s">
        <v>33</v>
      </c>
      <c r="C960" s="655" t="s">
        <v>2793</v>
      </c>
      <c r="D960" s="656" t="s">
        <v>974</v>
      </c>
      <c r="E960" s="656" t="s">
        <v>975</v>
      </c>
      <c r="F960" s="655">
        <v>16839</v>
      </c>
      <c r="G960" s="656" t="s">
        <v>57</v>
      </c>
      <c r="H960" s="656" t="s">
        <v>1182</v>
      </c>
      <c r="I960" s="656" t="s">
        <v>58</v>
      </c>
      <c r="J960" s="655">
        <v>22</v>
      </c>
      <c r="K960" s="655">
        <v>2</v>
      </c>
      <c r="L960" s="656" t="s">
        <v>52</v>
      </c>
      <c r="M960" s="656" t="s">
        <v>51</v>
      </c>
      <c r="N960" s="656" t="s">
        <v>46</v>
      </c>
      <c r="O960" s="656" t="s">
        <v>46</v>
      </c>
      <c r="P960" s="656" t="s">
        <v>47</v>
      </c>
      <c r="Q960" s="657">
        <v>0</v>
      </c>
      <c r="R960" s="657">
        <v>0</v>
      </c>
      <c r="S960" s="657">
        <v>0</v>
      </c>
      <c r="T960" s="657">
        <v>0</v>
      </c>
      <c r="U960" s="657">
        <v>0</v>
      </c>
      <c r="V960" s="655">
        <v>2021</v>
      </c>
      <c r="W960" s="659"/>
      <c r="X960" s="660" t="str">
        <f t="shared" si="44"/>
        <v/>
      </c>
      <c r="Y960" s="661" t="str">
        <f t="shared" si="42"/>
        <v/>
      </c>
      <c r="Z960" s="661" t="str">
        <f t="shared" si="43"/>
        <v/>
      </c>
    </row>
    <row r="961" spans="1:26" s="128" customFormat="1" hidden="1">
      <c r="A961" s="655">
        <v>54605</v>
      </c>
      <c r="B961" s="656" t="s">
        <v>54</v>
      </c>
      <c r="C961" s="655" t="s">
        <v>2793</v>
      </c>
      <c r="D961" s="656" t="s">
        <v>976</v>
      </c>
      <c r="E961" s="656" t="s">
        <v>977</v>
      </c>
      <c r="F961" s="655">
        <v>21621</v>
      </c>
      <c r="G961" s="656" t="s">
        <v>41</v>
      </c>
      <c r="H961" s="656" t="s">
        <v>1183</v>
      </c>
      <c r="I961" s="656" t="s">
        <v>58</v>
      </c>
      <c r="J961" s="655">
        <v>336</v>
      </c>
      <c r="K961" s="655">
        <v>7</v>
      </c>
      <c r="L961" s="656" t="s">
        <v>409</v>
      </c>
      <c r="M961" s="656" t="s">
        <v>50</v>
      </c>
      <c r="N961" s="656" t="s">
        <v>46</v>
      </c>
      <c r="O961" s="656" t="s">
        <v>46</v>
      </c>
      <c r="P961" s="656" t="s">
        <v>47</v>
      </c>
      <c r="Q961" s="657">
        <v>0</v>
      </c>
      <c r="R961" s="657">
        <v>0</v>
      </c>
      <c r="S961" s="657">
        <v>0</v>
      </c>
      <c r="T961" s="657">
        <v>0</v>
      </c>
      <c r="U961" s="657">
        <v>0</v>
      </c>
      <c r="V961" s="655">
        <v>2021</v>
      </c>
      <c r="W961" s="659"/>
      <c r="X961" s="660" t="str">
        <f t="shared" si="44"/>
        <v/>
      </c>
      <c r="Y961" s="661" t="str">
        <f t="shared" si="42"/>
        <v/>
      </c>
      <c r="Z961" s="661" t="str">
        <f t="shared" si="43"/>
        <v/>
      </c>
    </row>
    <row r="962" spans="1:26" s="128" customFormat="1" hidden="1">
      <c r="A962" s="655">
        <v>54605</v>
      </c>
      <c r="B962" s="656" t="s">
        <v>54</v>
      </c>
      <c r="C962" s="655" t="s">
        <v>2793</v>
      </c>
      <c r="D962" s="656" t="s">
        <v>976</v>
      </c>
      <c r="E962" s="656" t="s">
        <v>977</v>
      </c>
      <c r="F962" s="655">
        <v>21621</v>
      </c>
      <c r="G962" s="656" t="s">
        <v>41</v>
      </c>
      <c r="H962" s="656" t="s">
        <v>1183</v>
      </c>
      <c r="I962" s="656" t="s">
        <v>58</v>
      </c>
      <c r="J962" s="655">
        <v>336</v>
      </c>
      <c r="K962" s="655">
        <v>7</v>
      </c>
      <c r="L962" s="656" t="s">
        <v>409</v>
      </c>
      <c r="M962" s="656" t="s">
        <v>50</v>
      </c>
      <c r="N962" s="656" t="s">
        <v>66</v>
      </c>
      <c r="O962" s="656" t="s">
        <v>67</v>
      </c>
      <c r="P962" s="656" t="s">
        <v>47</v>
      </c>
      <c r="Q962" s="657">
        <v>0</v>
      </c>
      <c r="R962" s="657">
        <v>0</v>
      </c>
      <c r="S962" s="657">
        <v>0</v>
      </c>
      <c r="T962" s="657">
        <v>0</v>
      </c>
      <c r="U962" s="657">
        <v>0</v>
      </c>
      <c r="V962" s="655">
        <v>2021</v>
      </c>
      <c r="W962" s="659"/>
      <c r="X962" s="660" t="str">
        <f t="shared" si="44"/>
        <v/>
      </c>
      <c r="Y962" s="661" t="str">
        <f t="shared" si="42"/>
        <v/>
      </c>
      <c r="Z962" s="661" t="str">
        <f t="shared" si="43"/>
        <v/>
      </c>
    </row>
    <row r="963" spans="1:26" s="128" customFormat="1" hidden="1">
      <c r="A963" s="655">
        <v>54605</v>
      </c>
      <c r="B963" s="656" t="s">
        <v>54</v>
      </c>
      <c r="C963" s="655" t="s">
        <v>2793</v>
      </c>
      <c r="D963" s="656" t="s">
        <v>976</v>
      </c>
      <c r="E963" s="656" t="s">
        <v>977</v>
      </c>
      <c r="F963" s="655">
        <v>21621</v>
      </c>
      <c r="G963" s="656" t="s">
        <v>41</v>
      </c>
      <c r="H963" s="656" t="s">
        <v>1183</v>
      </c>
      <c r="I963" s="656" t="s">
        <v>58</v>
      </c>
      <c r="J963" s="655">
        <v>336</v>
      </c>
      <c r="K963" s="655">
        <v>7</v>
      </c>
      <c r="L963" s="656" t="s">
        <v>409</v>
      </c>
      <c r="M963" s="656" t="s">
        <v>50</v>
      </c>
      <c r="N963" s="656" t="s">
        <v>39</v>
      </c>
      <c r="O963" s="656" t="s">
        <v>39</v>
      </c>
      <c r="P963" s="656" t="s">
        <v>1037</v>
      </c>
      <c r="Q963" s="657">
        <v>1313480</v>
      </c>
      <c r="R963" s="657">
        <v>488463</v>
      </c>
      <c r="S963" s="657">
        <v>1345109</v>
      </c>
      <c r="T963" s="657">
        <v>500258</v>
      </c>
      <c r="U963" s="657">
        <v>102902</v>
      </c>
      <c r="V963" s="655">
        <v>2021</v>
      </c>
      <c r="W963" s="659"/>
      <c r="X963" s="660" t="str">
        <f t="shared" si="44"/>
        <v/>
      </c>
      <c r="Y963" s="661">
        <f t="shared" si="42"/>
        <v>6.051735128065034</v>
      </c>
      <c r="Z963" s="661" t="str">
        <f t="shared" si="43"/>
        <v/>
      </c>
    </row>
    <row r="964" spans="1:26" s="128" customFormat="1" ht="25">
      <c r="A964" s="655">
        <v>54620</v>
      </c>
      <c r="B964" s="656" t="s">
        <v>33</v>
      </c>
      <c r="C964" s="655" t="s">
        <v>2793</v>
      </c>
      <c r="D964" s="656" t="s">
        <v>3117</v>
      </c>
      <c r="E964" s="656" t="s">
        <v>3109</v>
      </c>
      <c r="F964" s="655">
        <v>64003</v>
      </c>
      <c r="G964" s="656" t="s">
        <v>81</v>
      </c>
      <c r="H964" s="656" t="s">
        <v>1183</v>
      </c>
      <c r="I964" s="656" t="s">
        <v>58</v>
      </c>
      <c r="J964" s="655">
        <v>22</v>
      </c>
      <c r="K964" s="655">
        <v>2</v>
      </c>
      <c r="L964" s="656" t="s">
        <v>52</v>
      </c>
      <c r="M964" s="656" t="s">
        <v>42</v>
      </c>
      <c r="N964" s="656" t="s">
        <v>39</v>
      </c>
      <c r="O964" s="656" t="s">
        <v>39</v>
      </c>
      <c r="P964" s="656" t="s">
        <v>1037</v>
      </c>
      <c r="Q964" s="657">
        <v>95870</v>
      </c>
      <c r="R964" s="657">
        <v>95870</v>
      </c>
      <c r="S964" s="657">
        <v>98746</v>
      </c>
      <c r="T964" s="657">
        <v>98746</v>
      </c>
      <c r="U964" s="657">
        <v>3954.7069999999999</v>
      </c>
      <c r="V964" s="655">
        <v>2021</v>
      </c>
      <c r="W964" s="659"/>
      <c r="X964" s="660">
        <f t="shared" si="44"/>
        <v>24.969232866050508</v>
      </c>
      <c r="Y964" s="661" t="str">
        <f t="shared" si="42"/>
        <v/>
      </c>
      <c r="Z964" s="661" t="str">
        <f t="shared" si="43"/>
        <v/>
      </c>
    </row>
    <row r="965" spans="1:26" s="128" customFormat="1" ht="25">
      <c r="A965" s="655">
        <v>54620</v>
      </c>
      <c r="B965" s="656" t="s">
        <v>33</v>
      </c>
      <c r="C965" s="655" t="s">
        <v>2793</v>
      </c>
      <c r="D965" s="656" t="s">
        <v>3117</v>
      </c>
      <c r="E965" s="656" t="s">
        <v>3109</v>
      </c>
      <c r="F965" s="655">
        <v>64003</v>
      </c>
      <c r="G965" s="656" t="s">
        <v>81</v>
      </c>
      <c r="H965" s="656" t="s">
        <v>1183</v>
      </c>
      <c r="I965" s="656" t="s">
        <v>58</v>
      </c>
      <c r="J965" s="655">
        <v>22</v>
      </c>
      <c r="K965" s="655">
        <v>2</v>
      </c>
      <c r="L965" s="656" t="s">
        <v>52</v>
      </c>
      <c r="M965" s="656" t="s">
        <v>42</v>
      </c>
      <c r="N965" s="656" t="s">
        <v>69</v>
      </c>
      <c r="O965" s="656" t="s">
        <v>70</v>
      </c>
      <c r="P965" s="656" t="s">
        <v>45</v>
      </c>
      <c r="Q965" s="657">
        <v>151013</v>
      </c>
      <c r="R965" s="657">
        <v>151013</v>
      </c>
      <c r="S965" s="657">
        <v>1401772</v>
      </c>
      <c r="T965" s="657">
        <v>1401772</v>
      </c>
      <c r="U965" s="657">
        <v>69906.293000000005</v>
      </c>
      <c r="V965" s="655">
        <v>2021</v>
      </c>
      <c r="W965" s="659"/>
      <c r="X965" s="660">
        <f t="shared" si="44"/>
        <v>20.052157536089059</v>
      </c>
      <c r="Y965" s="661" t="str">
        <f t="shared" si="42"/>
        <v/>
      </c>
      <c r="Z965" s="661" t="str">
        <f t="shared" si="43"/>
        <v/>
      </c>
    </row>
    <row r="966" spans="1:26" s="128" customFormat="1" ht="25" hidden="1">
      <c r="A966" s="655">
        <v>54639</v>
      </c>
      <c r="B966" s="656" t="s">
        <v>33</v>
      </c>
      <c r="C966" s="655" t="s">
        <v>2793</v>
      </c>
      <c r="D966" s="656" t="s">
        <v>978</v>
      </c>
      <c r="E966" s="656" t="s">
        <v>21</v>
      </c>
      <c r="F966" s="655">
        <v>7595</v>
      </c>
      <c r="G966" s="656" t="s">
        <v>96</v>
      </c>
      <c r="H966" s="656" t="s">
        <v>1183</v>
      </c>
      <c r="I966" s="656" t="s">
        <v>58</v>
      </c>
      <c r="J966" s="655">
        <v>22</v>
      </c>
      <c r="K966" s="655">
        <v>2</v>
      </c>
      <c r="L966" s="656" t="s">
        <v>52</v>
      </c>
      <c r="M966" s="656" t="s">
        <v>35</v>
      </c>
      <c r="N966" s="656" t="s">
        <v>36</v>
      </c>
      <c r="O966" s="656" t="s">
        <v>37</v>
      </c>
      <c r="P966" s="656" t="s">
        <v>1176</v>
      </c>
      <c r="Q966" s="657">
        <v>0</v>
      </c>
      <c r="R966" s="657">
        <v>0</v>
      </c>
      <c r="S966" s="657">
        <v>1023577</v>
      </c>
      <c r="T966" s="657">
        <v>1023577</v>
      </c>
      <c r="U966" s="657">
        <v>115750</v>
      </c>
      <c r="V966" s="655">
        <v>2021</v>
      </c>
      <c r="W966" s="659"/>
      <c r="X966" s="660">
        <f t="shared" si="44"/>
        <v>8.8429978401727869</v>
      </c>
      <c r="Y966" s="661" t="str">
        <f t="shared" si="42"/>
        <v/>
      </c>
      <c r="Z966" s="661" t="str">
        <f t="shared" si="43"/>
        <v/>
      </c>
    </row>
    <row r="967" spans="1:26" s="128" customFormat="1" ht="25" hidden="1">
      <c r="A967" s="655">
        <v>54663</v>
      </c>
      <c r="B967" s="656" t="s">
        <v>33</v>
      </c>
      <c r="C967" s="655" t="s">
        <v>2793</v>
      </c>
      <c r="D967" s="656" t="s">
        <v>979</v>
      </c>
      <c r="E967" s="656" t="s">
        <v>902</v>
      </c>
      <c r="F967" s="655">
        <v>54842</v>
      </c>
      <c r="G967" s="656" t="s">
        <v>96</v>
      </c>
      <c r="H967" s="656" t="s">
        <v>1183</v>
      </c>
      <c r="I967" s="656" t="s">
        <v>58</v>
      </c>
      <c r="J967" s="655">
        <v>22</v>
      </c>
      <c r="K967" s="655">
        <v>2</v>
      </c>
      <c r="L967" s="656" t="s">
        <v>52</v>
      </c>
      <c r="M967" s="656" t="s">
        <v>50</v>
      </c>
      <c r="N967" s="656" t="s">
        <v>63</v>
      </c>
      <c r="O967" s="656" t="s">
        <v>64</v>
      </c>
      <c r="P967" s="656" t="s">
        <v>1037</v>
      </c>
      <c r="Q967" s="657">
        <v>1246396</v>
      </c>
      <c r="R967" s="657">
        <v>1246396</v>
      </c>
      <c r="S967" s="657">
        <v>635662</v>
      </c>
      <c r="T967" s="657">
        <v>635662</v>
      </c>
      <c r="U967" s="657">
        <v>27797</v>
      </c>
      <c r="V967" s="655">
        <v>2021</v>
      </c>
      <c r="W967" s="659"/>
      <c r="X967" s="660">
        <f t="shared" si="44"/>
        <v>22.868007338921466</v>
      </c>
      <c r="Y967" s="661" t="str">
        <f t="shared" ref="Y967:Y1030" si="45">IF(AND($M967=$Y$2,$N967=$Y$3,NOT($Q967=$R967),NOT($U967=0)),IF($K967=5,$S967/($U967+(8/5)*$U967),IF($K967=7,$S967/($U967+(29/25)*$U967),"")),"")</f>
        <v/>
      </c>
      <c r="Z967" s="661" t="str">
        <f t="shared" ref="Z967:Z1030" si="46">IF(AND($M967=$Y$2,$N967=$Y$4,NOT($Q967=$R967),NOT($U967=0)),IF($K967=5,$S967/($U967+(8/5)*$U967),IF($K967=7,$S967/($U967+(29/25)*$U967),"")),"")</f>
        <v/>
      </c>
    </row>
    <row r="968" spans="1:26" s="128" customFormat="1" ht="25" hidden="1">
      <c r="A968" s="655">
        <v>54663</v>
      </c>
      <c r="B968" s="656" t="s">
        <v>33</v>
      </c>
      <c r="C968" s="655" t="s">
        <v>2793</v>
      </c>
      <c r="D968" s="656" t="s">
        <v>979</v>
      </c>
      <c r="E968" s="656" t="s">
        <v>902</v>
      </c>
      <c r="F968" s="655">
        <v>54842</v>
      </c>
      <c r="G968" s="656" t="s">
        <v>96</v>
      </c>
      <c r="H968" s="656" t="s">
        <v>1183</v>
      </c>
      <c r="I968" s="656" t="s">
        <v>58</v>
      </c>
      <c r="J968" s="655">
        <v>22</v>
      </c>
      <c r="K968" s="655">
        <v>2</v>
      </c>
      <c r="L968" s="656" t="s">
        <v>52</v>
      </c>
      <c r="M968" s="656" t="s">
        <v>51</v>
      </c>
      <c r="N968" s="656" t="s">
        <v>63</v>
      </c>
      <c r="O968" s="656" t="s">
        <v>64</v>
      </c>
      <c r="P968" s="656" t="s">
        <v>1037</v>
      </c>
      <c r="Q968" s="657">
        <v>265693</v>
      </c>
      <c r="R968" s="657">
        <v>265693</v>
      </c>
      <c r="S968" s="657">
        <v>138161</v>
      </c>
      <c r="T968" s="657">
        <v>138161</v>
      </c>
      <c r="U968" s="657">
        <v>10780</v>
      </c>
      <c r="V968" s="655">
        <v>2021</v>
      </c>
      <c r="W968" s="659"/>
      <c r="X968" s="660">
        <f t="shared" ref="X968:X1031" si="47">IF(OR(K968&gt;3,T968=0,NOT(U968&gt;0)),"",T968/U968)</f>
        <v>12.816419294990723</v>
      </c>
      <c r="Y968" s="661" t="str">
        <f t="shared" si="45"/>
        <v/>
      </c>
      <c r="Z968" s="661" t="str">
        <f t="shared" si="46"/>
        <v/>
      </c>
    </row>
    <row r="969" spans="1:26" s="128" customFormat="1" ht="25" hidden="1">
      <c r="A969" s="655">
        <v>54691</v>
      </c>
      <c r="B969" s="656" t="s">
        <v>33</v>
      </c>
      <c r="C969" s="655" t="s">
        <v>2793</v>
      </c>
      <c r="D969" s="656" t="s">
        <v>1598</v>
      </c>
      <c r="E969" s="656" t="s">
        <v>3104</v>
      </c>
      <c r="F969" s="655">
        <v>57280</v>
      </c>
      <c r="G969" s="656" t="s">
        <v>57</v>
      </c>
      <c r="H969" s="656" t="s">
        <v>1182</v>
      </c>
      <c r="I969" s="656" t="s">
        <v>58</v>
      </c>
      <c r="J969" s="655">
        <v>22</v>
      </c>
      <c r="K969" s="655">
        <v>2</v>
      </c>
      <c r="L969" s="656" t="s">
        <v>52</v>
      </c>
      <c r="M969" s="656" t="s">
        <v>35</v>
      </c>
      <c r="N969" s="656" t="s">
        <v>36</v>
      </c>
      <c r="O969" s="656" t="s">
        <v>37</v>
      </c>
      <c r="P969" s="656" t="s">
        <v>1176</v>
      </c>
      <c r="Q969" s="657">
        <v>0</v>
      </c>
      <c r="R969" s="657">
        <v>0</v>
      </c>
      <c r="S969" s="657">
        <v>45790</v>
      </c>
      <c r="T969" s="657">
        <v>45790</v>
      </c>
      <c r="U969" s="657">
        <v>5178</v>
      </c>
      <c r="V969" s="655">
        <v>2021</v>
      </c>
      <c r="W969" s="659"/>
      <c r="X969" s="660">
        <f t="shared" si="47"/>
        <v>8.8431826960216302</v>
      </c>
      <c r="Y969" s="661" t="str">
        <f t="shared" si="45"/>
        <v/>
      </c>
      <c r="Z969" s="661" t="str">
        <f t="shared" si="46"/>
        <v/>
      </c>
    </row>
    <row r="970" spans="1:26" s="128" customFormat="1" ht="25" hidden="1">
      <c r="A970" s="655">
        <v>54758</v>
      </c>
      <c r="B970" s="656" t="s">
        <v>33</v>
      </c>
      <c r="C970" s="655" t="s">
        <v>2793</v>
      </c>
      <c r="D970" s="656" t="s">
        <v>980</v>
      </c>
      <c r="E970" s="656" t="s">
        <v>92</v>
      </c>
      <c r="F970" s="655">
        <v>20541</v>
      </c>
      <c r="G970" s="656" t="s">
        <v>41</v>
      </c>
      <c r="H970" s="656" t="s">
        <v>1183</v>
      </c>
      <c r="I970" s="656" t="s">
        <v>58</v>
      </c>
      <c r="J970" s="655">
        <v>22</v>
      </c>
      <c r="K970" s="655">
        <v>2</v>
      </c>
      <c r="L970" s="656" t="s">
        <v>52</v>
      </c>
      <c r="M970" s="656" t="s">
        <v>42</v>
      </c>
      <c r="N970" s="656" t="s">
        <v>16</v>
      </c>
      <c r="O970" s="656" t="s">
        <v>64</v>
      </c>
      <c r="P970" s="656" t="s">
        <v>45</v>
      </c>
      <c r="Q970" s="657">
        <v>118175</v>
      </c>
      <c r="R970" s="657">
        <v>118175</v>
      </c>
      <c r="S970" s="657">
        <v>906660</v>
      </c>
      <c r="T970" s="657">
        <v>906660</v>
      </c>
      <c r="U970" s="657">
        <v>45063.072</v>
      </c>
      <c r="V970" s="655">
        <v>2021</v>
      </c>
      <c r="W970" s="659"/>
      <c r="X970" s="660">
        <f t="shared" si="47"/>
        <v>20.119800088196385</v>
      </c>
      <c r="Y970" s="661" t="str">
        <f t="shared" si="45"/>
        <v/>
      </c>
      <c r="Z970" s="661" t="str">
        <f t="shared" si="46"/>
        <v/>
      </c>
    </row>
    <row r="971" spans="1:26" s="128" customFormat="1" ht="25" hidden="1">
      <c r="A971" s="655">
        <v>54758</v>
      </c>
      <c r="B971" s="656" t="s">
        <v>33</v>
      </c>
      <c r="C971" s="655" t="s">
        <v>2793</v>
      </c>
      <c r="D971" s="656" t="s">
        <v>980</v>
      </c>
      <c r="E971" s="656" t="s">
        <v>92</v>
      </c>
      <c r="F971" s="655">
        <v>20541</v>
      </c>
      <c r="G971" s="656" t="s">
        <v>41</v>
      </c>
      <c r="H971" s="656" t="s">
        <v>1183</v>
      </c>
      <c r="I971" s="656" t="s">
        <v>58</v>
      </c>
      <c r="J971" s="655">
        <v>22</v>
      </c>
      <c r="K971" s="655">
        <v>2</v>
      </c>
      <c r="L971" s="656" t="s">
        <v>52</v>
      </c>
      <c r="M971" s="656" t="s">
        <v>42</v>
      </c>
      <c r="N971" s="656" t="s">
        <v>17</v>
      </c>
      <c r="O971" s="656" t="s">
        <v>82</v>
      </c>
      <c r="P971" s="656" t="s">
        <v>45</v>
      </c>
      <c r="Q971" s="657">
        <v>75557</v>
      </c>
      <c r="R971" s="657">
        <v>75557</v>
      </c>
      <c r="S971" s="657">
        <v>1108158</v>
      </c>
      <c r="T971" s="657">
        <v>1108158</v>
      </c>
      <c r="U971" s="657">
        <v>55077.928</v>
      </c>
      <c r="V971" s="655">
        <v>2021</v>
      </c>
      <c r="W971" s="659"/>
      <c r="X971" s="660">
        <f t="shared" si="47"/>
        <v>20.119820048423026</v>
      </c>
      <c r="Y971" s="661" t="str">
        <f t="shared" si="45"/>
        <v/>
      </c>
      <c r="Z971" s="661" t="str">
        <f t="shared" si="46"/>
        <v/>
      </c>
    </row>
    <row r="972" spans="1:26" s="128" customFormat="1" ht="25" hidden="1">
      <c r="A972" s="655">
        <v>54769</v>
      </c>
      <c r="B972" s="656" t="s">
        <v>54</v>
      </c>
      <c r="C972" s="655" t="s">
        <v>2793</v>
      </c>
      <c r="D972" s="656" t="s">
        <v>1910</v>
      </c>
      <c r="E972" s="656" t="s">
        <v>1911</v>
      </c>
      <c r="F972" s="655">
        <v>11329</v>
      </c>
      <c r="G972" s="656" t="s">
        <v>57</v>
      </c>
      <c r="H972" s="656" t="s">
        <v>1182</v>
      </c>
      <c r="I972" s="656" t="s">
        <v>58</v>
      </c>
      <c r="J972" s="655">
        <v>622</v>
      </c>
      <c r="K972" s="655">
        <v>5</v>
      </c>
      <c r="L972" s="656" t="s">
        <v>413</v>
      </c>
      <c r="M972" s="656" t="s">
        <v>51</v>
      </c>
      <c r="N972" s="656" t="s">
        <v>46</v>
      </c>
      <c r="O972" s="656" t="s">
        <v>46</v>
      </c>
      <c r="P972" s="656" t="s">
        <v>47</v>
      </c>
      <c r="Q972" s="657">
        <v>184</v>
      </c>
      <c r="R972" s="657">
        <v>98</v>
      </c>
      <c r="S972" s="657">
        <v>1014</v>
      </c>
      <c r="T972" s="657">
        <v>541</v>
      </c>
      <c r="U972" s="657">
        <v>108</v>
      </c>
      <c r="V972" s="655">
        <v>2021</v>
      </c>
      <c r="W972" s="659"/>
      <c r="X972" s="660" t="str">
        <f t="shared" si="47"/>
        <v/>
      </c>
      <c r="Y972" s="661" t="str">
        <f t="shared" si="45"/>
        <v/>
      </c>
      <c r="Z972" s="661" t="str">
        <f t="shared" si="46"/>
        <v/>
      </c>
    </row>
    <row r="973" spans="1:26" s="128" customFormat="1" ht="25" hidden="1">
      <c r="A973" s="655">
        <v>54769</v>
      </c>
      <c r="B973" s="656" t="s">
        <v>54</v>
      </c>
      <c r="C973" s="655" t="s">
        <v>2793</v>
      </c>
      <c r="D973" s="656" t="s">
        <v>1910</v>
      </c>
      <c r="E973" s="656" t="s">
        <v>1911</v>
      </c>
      <c r="F973" s="655">
        <v>11329</v>
      </c>
      <c r="G973" s="656" t="s">
        <v>57</v>
      </c>
      <c r="H973" s="656" t="s">
        <v>1182</v>
      </c>
      <c r="I973" s="656" t="s">
        <v>58</v>
      </c>
      <c r="J973" s="655">
        <v>622</v>
      </c>
      <c r="K973" s="655">
        <v>5</v>
      </c>
      <c r="L973" s="656" t="s">
        <v>413</v>
      </c>
      <c r="M973" s="656" t="s">
        <v>51</v>
      </c>
      <c r="N973" s="656" t="s">
        <v>39</v>
      </c>
      <c r="O973" s="656" t="s">
        <v>39</v>
      </c>
      <c r="P973" s="656" t="s">
        <v>1037</v>
      </c>
      <c r="Q973" s="657">
        <v>0</v>
      </c>
      <c r="R973" s="657">
        <v>0</v>
      </c>
      <c r="S973" s="657">
        <v>0</v>
      </c>
      <c r="T973" s="657">
        <v>0</v>
      </c>
      <c r="U973" s="657">
        <v>0</v>
      </c>
      <c r="V973" s="655">
        <v>2021</v>
      </c>
      <c r="W973" s="659"/>
      <c r="X973" s="660" t="str">
        <f t="shared" si="47"/>
        <v/>
      </c>
      <c r="Y973" s="661" t="str">
        <f t="shared" si="45"/>
        <v/>
      </c>
      <c r="Z973" s="661" t="str">
        <f t="shared" si="46"/>
        <v/>
      </c>
    </row>
    <row r="974" spans="1:26" s="128" customFormat="1" ht="25" hidden="1">
      <c r="A974" s="655">
        <v>54772</v>
      </c>
      <c r="B974" s="656" t="s">
        <v>33</v>
      </c>
      <c r="C974" s="655" t="s">
        <v>2793</v>
      </c>
      <c r="D974" s="656" t="s">
        <v>981</v>
      </c>
      <c r="E974" s="656" t="s">
        <v>783</v>
      </c>
      <c r="F974" s="655">
        <v>55754</v>
      </c>
      <c r="G974" s="656" t="s">
        <v>57</v>
      </c>
      <c r="H974" s="656" t="s">
        <v>1182</v>
      </c>
      <c r="I974" s="656" t="s">
        <v>58</v>
      </c>
      <c r="J974" s="655">
        <v>22</v>
      </c>
      <c r="K974" s="655">
        <v>2</v>
      </c>
      <c r="L974" s="656" t="s">
        <v>52</v>
      </c>
      <c r="M974" s="656" t="s">
        <v>35</v>
      </c>
      <c r="N974" s="656" t="s">
        <v>36</v>
      </c>
      <c r="O974" s="656" t="s">
        <v>37</v>
      </c>
      <c r="P974" s="656" t="s">
        <v>1176</v>
      </c>
      <c r="Q974" s="657">
        <v>0</v>
      </c>
      <c r="R974" s="657">
        <v>0</v>
      </c>
      <c r="S974" s="657">
        <v>698243</v>
      </c>
      <c r="T974" s="657">
        <v>698243</v>
      </c>
      <c r="U974" s="657">
        <v>78960</v>
      </c>
      <c r="V974" s="655">
        <v>2021</v>
      </c>
      <c r="W974" s="659"/>
      <c r="X974" s="660">
        <f t="shared" si="47"/>
        <v>8.8429964539007084</v>
      </c>
      <c r="Y974" s="661" t="str">
        <f t="shared" si="45"/>
        <v/>
      </c>
      <c r="Z974" s="661" t="str">
        <f t="shared" si="46"/>
        <v/>
      </c>
    </row>
    <row r="975" spans="1:26" s="128" customFormat="1" hidden="1">
      <c r="A975" s="655">
        <v>54782</v>
      </c>
      <c r="B975" s="656" t="s">
        <v>33</v>
      </c>
      <c r="C975" s="655" t="s">
        <v>2793</v>
      </c>
      <c r="D975" s="656" t="s">
        <v>982</v>
      </c>
      <c r="E975" s="656" t="s">
        <v>983</v>
      </c>
      <c r="F975" s="655">
        <v>17283</v>
      </c>
      <c r="G975" s="656" t="s">
        <v>57</v>
      </c>
      <c r="H975" s="656" t="s">
        <v>1182</v>
      </c>
      <c r="I975" s="656" t="s">
        <v>58</v>
      </c>
      <c r="J975" s="655">
        <v>22</v>
      </c>
      <c r="K975" s="655">
        <v>2</v>
      </c>
      <c r="L975" s="656" t="s">
        <v>52</v>
      </c>
      <c r="M975" s="656" t="s">
        <v>51</v>
      </c>
      <c r="N975" s="656" t="s">
        <v>63</v>
      </c>
      <c r="O975" s="656" t="s">
        <v>64</v>
      </c>
      <c r="P975" s="656" t="s">
        <v>1037</v>
      </c>
      <c r="Q975" s="657">
        <v>2082788</v>
      </c>
      <c r="R975" s="657">
        <v>2082788</v>
      </c>
      <c r="S975" s="657">
        <v>1041082</v>
      </c>
      <c r="T975" s="657">
        <v>1041082</v>
      </c>
      <c r="U975" s="657">
        <v>94836</v>
      </c>
      <c r="V975" s="655">
        <v>2021</v>
      </c>
      <c r="W975" s="659"/>
      <c r="X975" s="660">
        <f t="shared" si="47"/>
        <v>10.977708886920579</v>
      </c>
      <c r="Y975" s="661" t="str">
        <f t="shared" si="45"/>
        <v/>
      </c>
      <c r="Z975" s="661" t="str">
        <f t="shared" si="46"/>
        <v/>
      </c>
    </row>
    <row r="976" spans="1:26" s="128" customFormat="1" ht="25" hidden="1">
      <c r="A976" s="655">
        <v>54803</v>
      </c>
      <c r="B976" s="656" t="s">
        <v>54</v>
      </c>
      <c r="C976" s="655" t="s">
        <v>2793</v>
      </c>
      <c r="D976" s="656" t="s">
        <v>984</v>
      </c>
      <c r="E976" s="656" t="s">
        <v>1599</v>
      </c>
      <c r="F976" s="655">
        <v>59190</v>
      </c>
      <c r="G976" s="656" t="s">
        <v>96</v>
      </c>
      <c r="H976" s="656" t="s">
        <v>1183</v>
      </c>
      <c r="I976" s="656" t="s">
        <v>58</v>
      </c>
      <c r="J976" s="655">
        <v>611</v>
      </c>
      <c r="K976" s="655">
        <v>5</v>
      </c>
      <c r="L976" s="656" t="s">
        <v>413</v>
      </c>
      <c r="M976" s="656" t="s">
        <v>51</v>
      </c>
      <c r="N976" s="656" t="s">
        <v>46</v>
      </c>
      <c r="O976" s="656" t="s">
        <v>46</v>
      </c>
      <c r="P976" s="656" t="s">
        <v>47</v>
      </c>
      <c r="Q976" s="657">
        <v>0</v>
      </c>
      <c r="R976" s="657">
        <v>0</v>
      </c>
      <c r="S976" s="657">
        <v>0</v>
      </c>
      <c r="T976" s="657">
        <v>0</v>
      </c>
      <c r="U976" s="657">
        <v>0</v>
      </c>
      <c r="V976" s="655">
        <v>2021</v>
      </c>
      <c r="W976" s="659"/>
      <c r="X976" s="660" t="str">
        <f t="shared" si="47"/>
        <v/>
      </c>
      <c r="Y976" s="661" t="str">
        <f t="shared" si="45"/>
        <v/>
      </c>
      <c r="Z976" s="661" t="str">
        <f t="shared" si="46"/>
        <v/>
      </c>
    </row>
    <row r="977" spans="1:26" s="128" customFormat="1" ht="25" hidden="1">
      <c r="A977" s="655">
        <v>54803</v>
      </c>
      <c r="B977" s="656" t="s">
        <v>54</v>
      </c>
      <c r="C977" s="655" t="s">
        <v>2793</v>
      </c>
      <c r="D977" s="656" t="s">
        <v>984</v>
      </c>
      <c r="E977" s="656" t="s">
        <v>1599</v>
      </c>
      <c r="F977" s="655">
        <v>59190</v>
      </c>
      <c r="G977" s="656" t="s">
        <v>96</v>
      </c>
      <c r="H977" s="656" t="s">
        <v>1183</v>
      </c>
      <c r="I977" s="656" t="s">
        <v>58</v>
      </c>
      <c r="J977" s="655">
        <v>611</v>
      </c>
      <c r="K977" s="655">
        <v>5</v>
      </c>
      <c r="L977" s="656" t="s">
        <v>413</v>
      </c>
      <c r="M977" s="656" t="s">
        <v>51</v>
      </c>
      <c r="N977" s="656" t="s">
        <v>61</v>
      </c>
      <c r="O977" s="656" t="s">
        <v>61</v>
      </c>
      <c r="P977" s="656" t="s">
        <v>47</v>
      </c>
      <c r="Q977" s="657">
        <v>0</v>
      </c>
      <c r="R977" s="657">
        <v>0</v>
      </c>
      <c r="S977" s="657">
        <v>0</v>
      </c>
      <c r="T977" s="657">
        <v>0</v>
      </c>
      <c r="U977" s="657">
        <v>0</v>
      </c>
      <c r="V977" s="655">
        <v>2021</v>
      </c>
      <c r="W977" s="659"/>
      <c r="X977" s="660" t="str">
        <f t="shared" si="47"/>
        <v/>
      </c>
      <c r="Y977" s="661" t="str">
        <f t="shared" si="45"/>
        <v/>
      </c>
      <c r="Z977" s="661" t="str">
        <f t="shared" si="46"/>
        <v/>
      </c>
    </row>
    <row r="978" spans="1:26" s="128" customFormat="1">
      <c r="A978" s="655">
        <v>54805</v>
      </c>
      <c r="B978" s="656" t="s">
        <v>33</v>
      </c>
      <c r="C978" s="655" t="s">
        <v>2793</v>
      </c>
      <c r="D978" s="656" t="s">
        <v>985</v>
      </c>
      <c r="E978" s="656" t="s">
        <v>2320</v>
      </c>
      <c r="F978" s="655">
        <v>12469</v>
      </c>
      <c r="G978" s="656" t="s">
        <v>81</v>
      </c>
      <c r="H978" s="656" t="s">
        <v>1183</v>
      </c>
      <c r="I978" s="656" t="s">
        <v>58</v>
      </c>
      <c r="J978" s="655">
        <v>22</v>
      </c>
      <c r="K978" s="655">
        <v>2</v>
      </c>
      <c r="L978" s="656" t="s">
        <v>52</v>
      </c>
      <c r="M978" s="656" t="s">
        <v>38</v>
      </c>
      <c r="N978" s="656" t="s">
        <v>39</v>
      </c>
      <c r="O978" s="656" t="s">
        <v>39</v>
      </c>
      <c r="P978" s="656" t="s">
        <v>1037</v>
      </c>
      <c r="Q978" s="657">
        <v>358066</v>
      </c>
      <c r="R978" s="657">
        <v>358066</v>
      </c>
      <c r="S978" s="657">
        <v>367870</v>
      </c>
      <c r="T978" s="657">
        <v>367870</v>
      </c>
      <c r="U978" s="657">
        <v>89940</v>
      </c>
      <c r="V978" s="655">
        <v>2021</v>
      </c>
      <c r="W978" s="659" t="s">
        <v>3675</v>
      </c>
      <c r="X978" s="660">
        <f t="shared" si="47"/>
        <v>4.090171225261285</v>
      </c>
      <c r="Y978" s="661" t="str">
        <f t="shared" si="45"/>
        <v/>
      </c>
      <c r="Z978" s="661" t="str">
        <f t="shared" si="46"/>
        <v/>
      </c>
    </row>
    <row r="979" spans="1:26" s="128" customFormat="1">
      <c r="A979" s="655">
        <v>54805</v>
      </c>
      <c r="B979" s="656" t="s">
        <v>33</v>
      </c>
      <c r="C979" s="655" t="s">
        <v>2793</v>
      </c>
      <c r="D979" s="656" t="s">
        <v>985</v>
      </c>
      <c r="E979" s="656" t="s">
        <v>2320</v>
      </c>
      <c r="F979" s="655">
        <v>12469</v>
      </c>
      <c r="G979" s="656" t="s">
        <v>81</v>
      </c>
      <c r="H979" s="656" t="s">
        <v>1183</v>
      </c>
      <c r="I979" s="656" t="s">
        <v>58</v>
      </c>
      <c r="J979" s="655">
        <v>22</v>
      </c>
      <c r="K979" s="655">
        <v>2</v>
      </c>
      <c r="L979" s="656" t="s">
        <v>52</v>
      </c>
      <c r="M979" s="656" t="s">
        <v>41</v>
      </c>
      <c r="N979" s="656" t="s">
        <v>39</v>
      </c>
      <c r="O979" s="656" t="s">
        <v>39</v>
      </c>
      <c r="P979" s="656" t="s">
        <v>1037</v>
      </c>
      <c r="Q979" s="657">
        <v>1773394</v>
      </c>
      <c r="R979" s="657">
        <v>1773394</v>
      </c>
      <c r="S979" s="657">
        <v>1821851</v>
      </c>
      <c r="T979" s="657">
        <v>1821851</v>
      </c>
      <c r="U979" s="657">
        <v>161821</v>
      </c>
      <c r="V979" s="655">
        <v>2021</v>
      </c>
      <c r="W979" s="659" t="s">
        <v>3675</v>
      </c>
      <c r="X979" s="660">
        <f t="shared" si="47"/>
        <v>11.258433701435537</v>
      </c>
      <c r="Y979" s="661" t="str">
        <f t="shared" si="45"/>
        <v/>
      </c>
      <c r="Z979" s="661" t="str">
        <f t="shared" si="46"/>
        <v/>
      </c>
    </row>
    <row r="980" spans="1:26" s="128" customFormat="1" ht="25" hidden="1">
      <c r="A980" s="655">
        <v>54808</v>
      </c>
      <c r="B980" s="656" t="s">
        <v>54</v>
      </c>
      <c r="C980" s="655" t="s">
        <v>2793</v>
      </c>
      <c r="D980" s="656" t="s">
        <v>431</v>
      </c>
      <c r="E980" s="656" t="s">
        <v>432</v>
      </c>
      <c r="F980" s="655">
        <v>13491</v>
      </c>
      <c r="G980" s="656" t="s">
        <v>57</v>
      </c>
      <c r="H980" s="656" t="s">
        <v>1182</v>
      </c>
      <c r="I980" s="656" t="s">
        <v>58</v>
      </c>
      <c r="J980" s="655">
        <v>611</v>
      </c>
      <c r="K980" s="655">
        <v>5</v>
      </c>
      <c r="L980" s="656" t="s">
        <v>413</v>
      </c>
      <c r="M980" s="656" t="s">
        <v>38</v>
      </c>
      <c r="N980" s="656" t="s">
        <v>46</v>
      </c>
      <c r="O980" s="656" t="s">
        <v>46</v>
      </c>
      <c r="P980" s="656" t="s">
        <v>47</v>
      </c>
      <c r="Q980" s="657">
        <v>0</v>
      </c>
      <c r="R980" s="657">
        <v>0</v>
      </c>
      <c r="S980" s="657">
        <v>0</v>
      </c>
      <c r="T980" s="657">
        <v>0</v>
      </c>
      <c r="U980" s="657">
        <v>39.018999999999998</v>
      </c>
      <c r="V980" s="655">
        <v>2021</v>
      </c>
      <c r="W980" s="659"/>
      <c r="X980" s="660" t="str">
        <f t="shared" si="47"/>
        <v/>
      </c>
      <c r="Y980" s="661" t="str">
        <f t="shared" si="45"/>
        <v/>
      </c>
      <c r="Z980" s="661" t="str">
        <f t="shared" si="46"/>
        <v/>
      </c>
    </row>
    <row r="981" spans="1:26" s="128" customFormat="1" ht="25" hidden="1">
      <c r="A981" s="655">
        <v>54808</v>
      </c>
      <c r="B981" s="656" t="s">
        <v>54</v>
      </c>
      <c r="C981" s="655" t="s">
        <v>2793</v>
      </c>
      <c r="D981" s="656" t="s">
        <v>431</v>
      </c>
      <c r="E981" s="656" t="s">
        <v>432</v>
      </c>
      <c r="F981" s="655">
        <v>13491</v>
      </c>
      <c r="G981" s="656" t="s">
        <v>57</v>
      </c>
      <c r="H981" s="656" t="s">
        <v>1182</v>
      </c>
      <c r="I981" s="656" t="s">
        <v>58</v>
      </c>
      <c r="J981" s="655">
        <v>611</v>
      </c>
      <c r="K981" s="655">
        <v>5</v>
      </c>
      <c r="L981" s="656" t="s">
        <v>413</v>
      </c>
      <c r="M981" s="656" t="s">
        <v>38</v>
      </c>
      <c r="N981" s="656" t="s">
        <v>39</v>
      </c>
      <c r="O981" s="656" t="s">
        <v>39</v>
      </c>
      <c r="P981" s="656" t="s">
        <v>1037</v>
      </c>
      <c r="Q981" s="657">
        <v>0</v>
      </c>
      <c r="R981" s="657">
        <v>0</v>
      </c>
      <c r="S981" s="657">
        <v>0</v>
      </c>
      <c r="T981" s="657">
        <v>0</v>
      </c>
      <c r="U981" s="657">
        <v>5200.9809999999998</v>
      </c>
      <c r="V981" s="655">
        <v>2021</v>
      </c>
      <c r="W981" s="659"/>
      <c r="X981" s="660" t="str">
        <f t="shared" si="47"/>
        <v/>
      </c>
      <c r="Y981" s="661" t="str">
        <f t="shared" si="45"/>
        <v/>
      </c>
      <c r="Z981" s="661" t="str">
        <f t="shared" si="46"/>
        <v/>
      </c>
    </row>
    <row r="982" spans="1:26" s="128" customFormat="1" ht="25" hidden="1">
      <c r="A982" s="655">
        <v>54808</v>
      </c>
      <c r="B982" s="656" t="s">
        <v>54</v>
      </c>
      <c r="C982" s="655" t="s">
        <v>2793</v>
      </c>
      <c r="D982" s="656" t="s">
        <v>431</v>
      </c>
      <c r="E982" s="656" t="s">
        <v>432</v>
      </c>
      <c r="F982" s="655">
        <v>13491</v>
      </c>
      <c r="G982" s="656" t="s">
        <v>57</v>
      </c>
      <c r="H982" s="656" t="s">
        <v>1182</v>
      </c>
      <c r="I982" s="656" t="s">
        <v>58</v>
      </c>
      <c r="J982" s="655">
        <v>611</v>
      </c>
      <c r="K982" s="655">
        <v>5</v>
      </c>
      <c r="L982" s="656" t="s">
        <v>413</v>
      </c>
      <c r="M982" s="656" t="s">
        <v>41</v>
      </c>
      <c r="N982" s="656" t="s">
        <v>46</v>
      </c>
      <c r="O982" s="656" t="s">
        <v>46</v>
      </c>
      <c r="P982" s="656" t="s">
        <v>47</v>
      </c>
      <c r="Q982" s="657">
        <v>1009</v>
      </c>
      <c r="R982" s="657">
        <v>1009</v>
      </c>
      <c r="S982" s="657">
        <v>5972</v>
      </c>
      <c r="T982" s="657">
        <v>5972</v>
      </c>
      <c r="U982" s="657">
        <v>512.58299999999997</v>
      </c>
      <c r="V982" s="655">
        <v>2021</v>
      </c>
      <c r="W982" s="659"/>
      <c r="X982" s="660" t="str">
        <f t="shared" si="47"/>
        <v/>
      </c>
      <c r="Y982" s="661" t="str">
        <f t="shared" si="45"/>
        <v/>
      </c>
      <c r="Z982" s="661" t="str">
        <f t="shared" si="46"/>
        <v/>
      </c>
    </row>
    <row r="983" spans="1:26" s="128" customFormat="1" ht="25" hidden="1">
      <c r="A983" s="655">
        <v>54808</v>
      </c>
      <c r="B983" s="656" t="s">
        <v>54</v>
      </c>
      <c r="C983" s="655" t="s">
        <v>2793</v>
      </c>
      <c r="D983" s="656" t="s">
        <v>431</v>
      </c>
      <c r="E983" s="656" t="s">
        <v>432</v>
      </c>
      <c r="F983" s="655">
        <v>13491</v>
      </c>
      <c r="G983" s="656" t="s">
        <v>57</v>
      </c>
      <c r="H983" s="656" t="s">
        <v>1182</v>
      </c>
      <c r="I983" s="656" t="s">
        <v>58</v>
      </c>
      <c r="J983" s="655">
        <v>611</v>
      </c>
      <c r="K983" s="655">
        <v>5</v>
      </c>
      <c r="L983" s="656" t="s">
        <v>413</v>
      </c>
      <c r="M983" s="656" t="s">
        <v>41</v>
      </c>
      <c r="N983" s="656" t="s">
        <v>39</v>
      </c>
      <c r="O983" s="656" t="s">
        <v>39</v>
      </c>
      <c r="P983" s="656" t="s">
        <v>1037</v>
      </c>
      <c r="Q983" s="657">
        <v>919405</v>
      </c>
      <c r="R983" s="657">
        <v>919404</v>
      </c>
      <c r="S983" s="657">
        <v>796205</v>
      </c>
      <c r="T983" s="657">
        <v>796205</v>
      </c>
      <c r="U983" s="657">
        <v>68324.417000000001</v>
      </c>
      <c r="V983" s="655">
        <v>2021</v>
      </c>
      <c r="W983" s="659"/>
      <c r="X983" s="660" t="str">
        <f t="shared" si="47"/>
        <v/>
      </c>
      <c r="Y983" s="661" t="str">
        <f t="shared" si="45"/>
        <v/>
      </c>
      <c r="Z983" s="661" t="str">
        <f t="shared" si="46"/>
        <v/>
      </c>
    </row>
    <row r="984" spans="1:26" s="128" customFormat="1" ht="25" hidden="1">
      <c r="A984" s="655">
        <v>54808</v>
      </c>
      <c r="B984" s="656" t="s">
        <v>54</v>
      </c>
      <c r="C984" s="655" t="s">
        <v>2793</v>
      </c>
      <c r="D984" s="656" t="s">
        <v>431</v>
      </c>
      <c r="E984" s="656" t="s">
        <v>432</v>
      </c>
      <c r="F984" s="655">
        <v>13491</v>
      </c>
      <c r="G984" s="656" t="s">
        <v>57</v>
      </c>
      <c r="H984" s="656" t="s">
        <v>1182</v>
      </c>
      <c r="I984" s="656" t="s">
        <v>58</v>
      </c>
      <c r="J984" s="655">
        <v>611</v>
      </c>
      <c r="K984" s="655">
        <v>5</v>
      </c>
      <c r="L984" s="656" t="s">
        <v>413</v>
      </c>
      <c r="M984" s="656" t="s">
        <v>41</v>
      </c>
      <c r="N984" s="656" t="s">
        <v>61</v>
      </c>
      <c r="O984" s="656" t="s">
        <v>61</v>
      </c>
      <c r="P984" s="656" t="s">
        <v>47</v>
      </c>
      <c r="Q984" s="657">
        <v>0</v>
      </c>
      <c r="R984" s="657">
        <v>0</v>
      </c>
      <c r="S984" s="657">
        <v>0</v>
      </c>
      <c r="T984" s="657">
        <v>0</v>
      </c>
      <c r="U984" s="657">
        <v>0</v>
      </c>
      <c r="V984" s="655">
        <v>2021</v>
      </c>
      <c r="W984" s="659"/>
      <c r="X984" s="660" t="str">
        <f t="shared" si="47"/>
        <v/>
      </c>
      <c r="Y984" s="661" t="str">
        <f t="shared" si="45"/>
        <v/>
      </c>
      <c r="Z984" s="661" t="str">
        <f t="shared" si="46"/>
        <v/>
      </c>
    </row>
    <row r="985" spans="1:26" s="128" customFormat="1" ht="25" hidden="1">
      <c r="A985" s="655">
        <v>54808</v>
      </c>
      <c r="B985" s="656" t="s">
        <v>54</v>
      </c>
      <c r="C985" s="655" t="s">
        <v>2793</v>
      </c>
      <c r="D985" s="656" t="s">
        <v>431</v>
      </c>
      <c r="E985" s="656" t="s">
        <v>432</v>
      </c>
      <c r="F985" s="655">
        <v>13491</v>
      </c>
      <c r="G985" s="656" t="s">
        <v>57</v>
      </c>
      <c r="H985" s="656" t="s">
        <v>1182</v>
      </c>
      <c r="I985" s="656" t="s">
        <v>58</v>
      </c>
      <c r="J985" s="655">
        <v>611</v>
      </c>
      <c r="K985" s="655">
        <v>5</v>
      </c>
      <c r="L985" s="656" t="s">
        <v>413</v>
      </c>
      <c r="M985" s="656" t="s">
        <v>51</v>
      </c>
      <c r="N985" s="656" t="s">
        <v>46</v>
      </c>
      <c r="O985" s="656" t="s">
        <v>46</v>
      </c>
      <c r="P985" s="656" t="s">
        <v>47</v>
      </c>
      <c r="Q985" s="657">
        <v>0</v>
      </c>
      <c r="R985" s="657">
        <v>0</v>
      </c>
      <c r="S985" s="657">
        <v>0</v>
      </c>
      <c r="T985" s="657">
        <v>0</v>
      </c>
      <c r="U985" s="657">
        <v>0</v>
      </c>
      <c r="V985" s="655">
        <v>2021</v>
      </c>
      <c r="W985" s="659"/>
      <c r="X985" s="660" t="str">
        <f t="shared" si="47"/>
        <v/>
      </c>
      <c r="Y985" s="661" t="str">
        <f t="shared" si="45"/>
        <v/>
      </c>
      <c r="Z985" s="661" t="str">
        <f t="shared" si="46"/>
        <v/>
      </c>
    </row>
    <row r="986" spans="1:26" s="128" customFormat="1" ht="25" hidden="1">
      <c r="A986" s="655">
        <v>54863</v>
      </c>
      <c r="B986" s="656" t="s">
        <v>33</v>
      </c>
      <c r="C986" s="655" t="s">
        <v>2793</v>
      </c>
      <c r="D986" s="656" t="s">
        <v>1197</v>
      </c>
      <c r="E986" s="656" t="s">
        <v>986</v>
      </c>
      <c r="F986" s="655">
        <v>1362</v>
      </c>
      <c r="G986" s="656" t="s">
        <v>57</v>
      </c>
      <c r="H986" s="656" t="s">
        <v>1182</v>
      </c>
      <c r="I986" s="656" t="s">
        <v>58</v>
      </c>
      <c r="J986" s="655">
        <v>622</v>
      </c>
      <c r="K986" s="655">
        <v>4</v>
      </c>
      <c r="L986" s="656" t="s">
        <v>412</v>
      </c>
      <c r="M986" s="656" t="s">
        <v>51</v>
      </c>
      <c r="N986" s="656" t="s">
        <v>46</v>
      </c>
      <c r="O986" s="656" t="s">
        <v>46</v>
      </c>
      <c r="P986" s="656" t="s">
        <v>47</v>
      </c>
      <c r="Q986" s="657">
        <v>58</v>
      </c>
      <c r="R986" s="657">
        <v>58</v>
      </c>
      <c r="S986" s="657">
        <v>348</v>
      </c>
      <c r="T986" s="657">
        <v>348</v>
      </c>
      <c r="U986" s="657">
        <v>33</v>
      </c>
      <c r="V986" s="655">
        <v>2021</v>
      </c>
      <c r="W986" s="659"/>
      <c r="X986" s="660" t="str">
        <f t="shared" si="47"/>
        <v/>
      </c>
      <c r="Y986" s="661" t="str">
        <f t="shared" si="45"/>
        <v/>
      </c>
      <c r="Z986" s="661" t="str">
        <f t="shared" si="46"/>
        <v/>
      </c>
    </row>
    <row r="987" spans="1:26" s="128" customFormat="1" ht="25" hidden="1">
      <c r="A987" s="655">
        <v>54865</v>
      </c>
      <c r="B987" s="656" t="s">
        <v>33</v>
      </c>
      <c r="C987" s="655" t="s">
        <v>2793</v>
      </c>
      <c r="D987" s="656" t="s">
        <v>987</v>
      </c>
      <c r="E987" s="656" t="s">
        <v>3104</v>
      </c>
      <c r="F987" s="655">
        <v>57280</v>
      </c>
      <c r="G987" s="656" t="s">
        <v>57</v>
      </c>
      <c r="H987" s="656" t="s">
        <v>1182</v>
      </c>
      <c r="I987" s="656" t="s">
        <v>58</v>
      </c>
      <c r="J987" s="655">
        <v>22</v>
      </c>
      <c r="K987" s="655">
        <v>2</v>
      </c>
      <c r="L987" s="656" t="s">
        <v>52</v>
      </c>
      <c r="M987" s="656" t="s">
        <v>35</v>
      </c>
      <c r="N987" s="656" t="s">
        <v>36</v>
      </c>
      <c r="O987" s="656" t="s">
        <v>37</v>
      </c>
      <c r="P987" s="656" t="s">
        <v>1176</v>
      </c>
      <c r="Q987" s="657">
        <v>0</v>
      </c>
      <c r="R987" s="657">
        <v>0</v>
      </c>
      <c r="S987" s="657">
        <v>97927</v>
      </c>
      <c r="T987" s="657">
        <v>97927</v>
      </c>
      <c r="U987" s="657">
        <v>11074</v>
      </c>
      <c r="V987" s="655">
        <v>2021</v>
      </c>
      <c r="W987" s="659"/>
      <c r="X987" s="660">
        <f t="shared" si="47"/>
        <v>8.842965504785985</v>
      </c>
      <c r="Y987" s="661" t="str">
        <f t="shared" si="45"/>
        <v/>
      </c>
      <c r="Z987" s="661" t="str">
        <f t="shared" si="46"/>
        <v/>
      </c>
    </row>
    <row r="988" spans="1:26" s="128" customFormat="1" ht="25" hidden="1">
      <c r="A988" s="655">
        <v>54878</v>
      </c>
      <c r="B988" s="656" t="s">
        <v>33</v>
      </c>
      <c r="C988" s="655" t="s">
        <v>2793</v>
      </c>
      <c r="D988" s="656" t="s">
        <v>1840</v>
      </c>
      <c r="E988" s="656" t="s">
        <v>1840</v>
      </c>
      <c r="F988" s="655">
        <v>32080</v>
      </c>
      <c r="G988" s="656" t="s">
        <v>57</v>
      </c>
      <c r="H988" s="656" t="s">
        <v>1182</v>
      </c>
      <c r="I988" s="656" t="s">
        <v>58</v>
      </c>
      <c r="J988" s="655">
        <v>322122</v>
      </c>
      <c r="K988" s="655">
        <v>6</v>
      </c>
      <c r="L988" s="656" t="s">
        <v>410</v>
      </c>
      <c r="M988" s="656" t="s">
        <v>35</v>
      </c>
      <c r="N988" s="656" t="s">
        <v>36</v>
      </c>
      <c r="O988" s="656" t="s">
        <v>37</v>
      </c>
      <c r="P988" s="656" t="s">
        <v>1176</v>
      </c>
      <c r="Q988" s="657">
        <v>0</v>
      </c>
      <c r="R988" s="657">
        <v>0</v>
      </c>
      <c r="S988" s="657">
        <v>48618</v>
      </c>
      <c r="T988" s="657">
        <v>48618</v>
      </c>
      <c r="U988" s="657">
        <v>5498</v>
      </c>
      <c r="V988" s="655">
        <v>2021</v>
      </c>
      <c r="W988" s="659"/>
      <c r="X988" s="660" t="str">
        <f t="shared" si="47"/>
        <v/>
      </c>
      <c r="Y988" s="661" t="str">
        <f t="shared" si="45"/>
        <v/>
      </c>
      <c r="Z988" s="661" t="str">
        <f t="shared" si="46"/>
        <v/>
      </c>
    </row>
    <row r="989" spans="1:26" s="128" customFormat="1" ht="25" hidden="1">
      <c r="A989" s="655">
        <v>54907</v>
      </c>
      <c r="B989" s="656" t="s">
        <v>54</v>
      </c>
      <c r="C989" s="655" t="s">
        <v>2793</v>
      </c>
      <c r="D989" s="656" t="s">
        <v>433</v>
      </c>
      <c r="E989" s="656" t="s">
        <v>434</v>
      </c>
      <c r="F989" s="655">
        <v>11820</v>
      </c>
      <c r="G989" s="656" t="s">
        <v>81</v>
      </c>
      <c r="H989" s="656" t="s">
        <v>1183</v>
      </c>
      <c r="I989" s="656" t="s">
        <v>58</v>
      </c>
      <c r="J989" s="655">
        <v>611</v>
      </c>
      <c r="K989" s="655">
        <v>5</v>
      </c>
      <c r="L989" s="656" t="s">
        <v>413</v>
      </c>
      <c r="M989" s="656" t="s">
        <v>50</v>
      </c>
      <c r="N989" s="656" t="s">
        <v>46</v>
      </c>
      <c r="O989" s="656" t="s">
        <v>46</v>
      </c>
      <c r="P989" s="656" t="s">
        <v>47</v>
      </c>
      <c r="Q989" s="657">
        <v>3389</v>
      </c>
      <c r="R989" s="657">
        <v>1214</v>
      </c>
      <c r="S989" s="657">
        <v>19656</v>
      </c>
      <c r="T989" s="657">
        <v>7041</v>
      </c>
      <c r="U989" s="657">
        <v>1054.9359999999999</v>
      </c>
      <c r="V989" s="655">
        <v>2021</v>
      </c>
      <c r="W989" s="659"/>
      <c r="X989" s="660" t="str">
        <f t="shared" si="47"/>
        <v/>
      </c>
      <c r="Y989" s="661" t="str">
        <f t="shared" si="45"/>
        <v/>
      </c>
      <c r="Z989" s="661">
        <f t="shared" si="46"/>
        <v>7.166311510840468</v>
      </c>
    </row>
    <row r="990" spans="1:26" s="128" customFormat="1" ht="25" hidden="1">
      <c r="A990" s="655">
        <v>54907</v>
      </c>
      <c r="B990" s="656" t="s">
        <v>54</v>
      </c>
      <c r="C990" s="655" t="s">
        <v>2793</v>
      </c>
      <c r="D990" s="656" t="s">
        <v>433</v>
      </c>
      <c r="E990" s="656" t="s">
        <v>434</v>
      </c>
      <c r="F990" s="655">
        <v>11820</v>
      </c>
      <c r="G990" s="656" t="s">
        <v>81</v>
      </c>
      <c r="H990" s="656" t="s">
        <v>1183</v>
      </c>
      <c r="I990" s="656" t="s">
        <v>58</v>
      </c>
      <c r="J990" s="655">
        <v>611</v>
      </c>
      <c r="K990" s="655">
        <v>5</v>
      </c>
      <c r="L990" s="656" t="s">
        <v>413</v>
      </c>
      <c r="M990" s="656" t="s">
        <v>50</v>
      </c>
      <c r="N990" s="656" t="s">
        <v>39</v>
      </c>
      <c r="O990" s="656" t="s">
        <v>39</v>
      </c>
      <c r="P990" s="656" t="s">
        <v>1037</v>
      </c>
      <c r="Q990" s="657">
        <v>1444769</v>
      </c>
      <c r="R990" s="657">
        <v>517473</v>
      </c>
      <c r="S990" s="657">
        <v>1488110</v>
      </c>
      <c r="T990" s="657">
        <v>532998</v>
      </c>
      <c r="U990" s="657">
        <v>79866.063999999998</v>
      </c>
      <c r="V990" s="655">
        <v>2021</v>
      </c>
      <c r="W990" s="659"/>
      <c r="X990" s="660" t="str">
        <f t="shared" si="47"/>
        <v/>
      </c>
      <c r="Y990" s="661">
        <f t="shared" si="45"/>
        <v>7.16637294157879</v>
      </c>
      <c r="Z990" s="661" t="str">
        <f t="shared" si="46"/>
        <v/>
      </c>
    </row>
    <row r="991" spans="1:26" s="128" customFormat="1" ht="25" hidden="1">
      <c r="A991" s="655">
        <v>54914</v>
      </c>
      <c r="B991" s="656" t="s">
        <v>54</v>
      </c>
      <c r="C991" s="655" t="s">
        <v>2793</v>
      </c>
      <c r="D991" s="656" t="s">
        <v>158</v>
      </c>
      <c r="E991" s="656" t="s">
        <v>159</v>
      </c>
      <c r="F991" s="655">
        <v>2313</v>
      </c>
      <c r="G991" s="656" t="s">
        <v>57</v>
      </c>
      <c r="H991" s="656" t="s">
        <v>1182</v>
      </c>
      <c r="I991" s="656" t="s">
        <v>58</v>
      </c>
      <c r="J991" s="655">
        <v>22</v>
      </c>
      <c r="K991" s="655">
        <v>3</v>
      </c>
      <c r="L991" s="656" t="s">
        <v>55</v>
      </c>
      <c r="M991" s="656" t="s">
        <v>38</v>
      </c>
      <c r="N991" s="656" t="s">
        <v>46</v>
      </c>
      <c r="O991" s="656" t="s">
        <v>46</v>
      </c>
      <c r="P991" s="656" t="s">
        <v>47</v>
      </c>
      <c r="Q991" s="657">
        <v>0</v>
      </c>
      <c r="R991" s="657">
        <v>0</v>
      </c>
      <c r="S991" s="657">
        <v>0</v>
      </c>
      <c r="T991" s="657">
        <v>0</v>
      </c>
      <c r="U991" s="657">
        <v>0</v>
      </c>
      <c r="V991" s="655">
        <v>2021</v>
      </c>
      <c r="W991" s="659"/>
      <c r="X991" s="660" t="str">
        <f t="shared" si="47"/>
        <v/>
      </c>
      <c r="Y991" s="661" t="str">
        <f t="shared" si="45"/>
        <v/>
      </c>
      <c r="Z991" s="661" t="str">
        <f t="shared" si="46"/>
        <v/>
      </c>
    </row>
    <row r="992" spans="1:26" s="128" customFormat="1" ht="25" hidden="1">
      <c r="A992" s="655">
        <v>54914</v>
      </c>
      <c r="B992" s="656" t="s">
        <v>54</v>
      </c>
      <c r="C992" s="655" t="s">
        <v>2793</v>
      </c>
      <c r="D992" s="656" t="s">
        <v>158</v>
      </c>
      <c r="E992" s="656" t="s">
        <v>159</v>
      </c>
      <c r="F992" s="655">
        <v>2313</v>
      </c>
      <c r="G992" s="656" t="s">
        <v>57</v>
      </c>
      <c r="H992" s="656" t="s">
        <v>1182</v>
      </c>
      <c r="I992" s="656" t="s">
        <v>58</v>
      </c>
      <c r="J992" s="655">
        <v>22</v>
      </c>
      <c r="K992" s="655">
        <v>3</v>
      </c>
      <c r="L992" s="656" t="s">
        <v>55</v>
      </c>
      <c r="M992" s="656" t="s">
        <v>38</v>
      </c>
      <c r="N992" s="656" t="s">
        <v>39</v>
      </c>
      <c r="O992" s="656" t="s">
        <v>39</v>
      </c>
      <c r="P992" s="656" t="s">
        <v>1037</v>
      </c>
      <c r="Q992" s="657">
        <v>0</v>
      </c>
      <c r="R992" s="657">
        <v>0</v>
      </c>
      <c r="S992" s="657">
        <v>0</v>
      </c>
      <c r="T992" s="657">
        <v>0</v>
      </c>
      <c r="U992" s="657">
        <v>424271</v>
      </c>
      <c r="V992" s="655">
        <v>2021</v>
      </c>
      <c r="W992" s="659"/>
      <c r="X992" s="660" t="str">
        <f t="shared" si="47"/>
        <v/>
      </c>
      <c r="Y992" s="661" t="str">
        <f t="shared" si="45"/>
        <v/>
      </c>
      <c r="Z992" s="661" t="str">
        <f t="shared" si="46"/>
        <v/>
      </c>
    </row>
    <row r="993" spans="1:26" s="128" customFormat="1" ht="25" hidden="1">
      <c r="A993" s="655">
        <v>54914</v>
      </c>
      <c r="B993" s="656" t="s">
        <v>54</v>
      </c>
      <c r="C993" s="655" t="s">
        <v>2793</v>
      </c>
      <c r="D993" s="656" t="s">
        <v>158</v>
      </c>
      <c r="E993" s="656" t="s">
        <v>159</v>
      </c>
      <c r="F993" s="655">
        <v>2313</v>
      </c>
      <c r="G993" s="656" t="s">
        <v>57</v>
      </c>
      <c r="H993" s="656" t="s">
        <v>1182</v>
      </c>
      <c r="I993" s="656" t="s">
        <v>58</v>
      </c>
      <c r="J993" s="655">
        <v>22</v>
      </c>
      <c r="K993" s="655">
        <v>3</v>
      </c>
      <c r="L993" s="656" t="s">
        <v>55</v>
      </c>
      <c r="M993" s="656" t="s">
        <v>41</v>
      </c>
      <c r="N993" s="656" t="s">
        <v>46</v>
      </c>
      <c r="O993" s="656" t="s">
        <v>46</v>
      </c>
      <c r="P993" s="656" t="s">
        <v>47</v>
      </c>
      <c r="Q993" s="657">
        <v>0</v>
      </c>
      <c r="R993" s="657">
        <v>0</v>
      </c>
      <c r="S993" s="657">
        <v>0</v>
      </c>
      <c r="T993" s="657">
        <v>0</v>
      </c>
      <c r="U993" s="657">
        <v>0</v>
      </c>
      <c r="V993" s="655">
        <v>2021</v>
      </c>
      <c r="W993" s="659"/>
      <c r="X993" s="660" t="str">
        <f t="shared" si="47"/>
        <v/>
      </c>
      <c r="Y993" s="661" t="str">
        <f t="shared" si="45"/>
        <v/>
      </c>
      <c r="Z993" s="661" t="str">
        <f t="shared" si="46"/>
        <v/>
      </c>
    </row>
    <row r="994" spans="1:26" s="128" customFormat="1" ht="25" hidden="1">
      <c r="A994" s="655">
        <v>54914</v>
      </c>
      <c r="B994" s="656" t="s">
        <v>54</v>
      </c>
      <c r="C994" s="655" t="s">
        <v>2793</v>
      </c>
      <c r="D994" s="656" t="s">
        <v>158</v>
      </c>
      <c r="E994" s="656" t="s">
        <v>159</v>
      </c>
      <c r="F994" s="655">
        <v>2313</v>
      </c>
      <c r="G994" s="656" t="s">
        <v>57</v>
      </c>
      <c r="H994" s="656" t="s">
        <v>1182</v>
      </c>
      <c r="I994" s="656" t="s">
        <v>58</v>
      </c>
      <c r="J994" s="655">
        <v>22</v>
      </c>
      <c r="K994" s="655">
        <v>3</v>
      </c>
      <c r="L994" s="656" t="s">
        <v>55</v>
      </c>
      <c r="M994" s="656" t="s">
        <v>41</v>
      </c>
      <c r="N994" s="656" t="s">
        <v>39</v>
      </c>
      <c r="O994" s="656" t="s">
        <v>39</v>
      </c>
      <c r="P994" s="656" t="s">
        <v>1037</v>
      </c>
      <c r="Q994" s="657">
        <v>16680771</v>
      </c>
      <c r="R994" s="657">
        <v>11337883</v>
      </c>
      <c r="S994" s="657">
        <v>17275229</v>
      </c>
      <c r="T994" s="657">
        <v>11741321</v>
      </c>
      <c r="U994" s="657">
        <v>1565992.7</v>
      </c>
      <c r="V994" s="655">
        <v>2021</v>
      </c>
      <c r="W994" s="659"/>
      <c r="X994" s="660">
        <f t="shared" si="47"/>
        <v>7.4976856533239271</v>
      </c>
      <c r="Y994" s="661" t="str">
        <f t="shared" si="45"/>
        <v/>
      </c>
      <c r="Z994" s="661" t="str">
        <f t="shared" si="46"/>
        <v/>
      </c>
    </row>
    <row r="995" spans="1:26" s="128" customFormat="1" ht="25" hidden="1">
      <c r="A995" s="655">
        <v>54937</v>
      </c>
      <c r="B995" s="656" t="s">
        <v>54</v>
      </c>
      <c r="C995" s="655" t="s">
        <v>2793</v>
      </c>
      <c r="D995" s="656" t="s">
        <v>988</v>
      </c>
      <c r="E995" s="656" t="s">
        <v>989</v>
      </c>
      <c r="F995" s="655">
        <v>20347</v>
      </c>
      <c r="G995" s="656" t="s">
        <v>81</v>
      </c>
      <c r="H995" s="656" t="s">
        <v>1183</v>
      </c>
      <c r="I995" s="656" t="s">
        <v>58</v>
      </c>
      <c r="J995" s="655">
        <v>611</v>
      </c>
      <c r="K995" s="655">
        <v>5</v>
      </c>
      <c r="L995" s="656" t="s">
        <v>413</v>
      </c>
      <c r="M995" s="656" t="s">
        <v>51</v>
      </c>
      <c r="N995" s="656" t="s">
        <v>39</v>
      </c>
      <c r="O995" s="656" t="s">
        <v>39</v>
      </c>
      <c r="P995" s="656" t="s">
        <v>1037</v>
      </c>
      <c r="Q995" s="657">
        <v>0</v>
      </c>
      <c r="R995" s="657">
        <v>0</v>
      </c>
      <c r="S995" s="657">
        <v>0</v>
      </c>
      <c r="T995" s="657">
        <v>0</v>
      </c>
      <c r="U995" s="657">
        <v>0</v>
      </c>
      <c r="V995" s="655">
        <v>2021</v>
      </c>
      <c r="W995" s="659"/>
      <c r="X995" s="660" t="str">
        <f t="shared" si="47"/>
        <v/>
      </c>
      <c r="Y995" s="661" t="str">
        <f t="shared" si="45"/>
        <v/>
      </c>
      <c r="Z995" s="661" t="str">
        <f t="shared" si="46"/>
        <v/>
      </c>
    </row>
    <row r="996" spans="1:26" s="128" customFormat="1" ht="25" hidden="1">
      <c r="A996" s="655">
        <v>54945</v>
      </c>
      <c r="B996" s="656" t="s">
        <v>33</v>
      </c>
      <c r="C996" s="655" t="s">
        <v>2793</v>
      </c>
      <c r="D996" s="656" t="s">
        <v>1112</v>
      </c>
      <c r="E996" s="656" t="s">
        <v>1113</v>
      </c>
      <c r="F996" s="655">
        <v>4426</v>
      </c>
      <c r="G996" s="656" t="s">
        <v>41</v>
      </c>
      <c r="H996" s="656" t="s">
        <v>1183</v>
      </c>
      <c r="I996" s="656" t="s">
        <v>58</v>
      </c>
      <c r="J996" s="655">
        <v>22</v>
      </c>
      <c r="K996" s="655">
        <v>2</v>
      </c>
      <c r="L996" s="656" t="s">
        <v>52</v>
      </c>
      <c r="M996" s="656" t="s">
        <v>42</v>
      </c>
      <c r="N996" s="656" t="s">
        <v>43</v>
      </c>
      <c r="O996" s="656" t="s">
        <v>44</v>
      </c>
      <c r="P996" s="656" t="s">
        <v>45</v>
      </c>
      <c r="Q996" s="657">
        <v>0</v>
      </c>
      <c r="R996" s="657">
        <v>0</v>
      </c>
      <c r="S996" s="657">
        <v>0</v>
      </c>
      <c r="T996" s="657">
        <v>0</v>
      </c>
      <c r="U996" s="657">
        <v>0</v>
      </c>
      <c r="V996" s="655">
        <v>2021</v>
      </c>
      <c r="W996" s="659"/>
      <c r="X996" s="660" t="str">
        <f t="shared" si="47"/>
        <v/>
      </c>
      <c r="Y996" s="661" t="str">
        <f t="shared" si="45"/>
        <v/>
      </c>
      <c r="Z996" s="661" t="str">
        <f t="shared" si="46"/>
        <v/>
      </c>
    </row>
    <row r="997" spans="1:26" s="128" customFormat="1" ht="25" hidden="1">
      <c r="A997" s="655">
        <v>54945</v>
      </c>
      <c r="B997" s="656" t="s">
        <v>33</v>
      </c>
      <c r="C997" s="655" t="s">
        <v>2793</v>
      </c>
      <c r="D997" s="656" t="s">
        <v>1112</v>
      </c>
      <c r="E997" s="656" t="s">
        <v>1113</v>
      </c>
      <c r="F997" s="655">
        <v>4426</v>
      </c>
      <c r="G997" s="656" t="s">
        <v>41</v>
      </c>
      <c r="H997" s="656" t="s">
        <v>1183</v>
      </c>
      <c r="I997" s="656" t="s">
        <v>58</v>
      </c>
      <c r="J997" s="655">
        <v>22</v>
      </c>
      <c r="K997" s="655">
        <v>2</v>
      </c>
      <c r="L997" s="656" t="s">
        <v>52</v>
      </c>
      <c r="M997" s="656" t="s">
        <v>42</v>
      </c>
      <c r="N997" s="656" t="s">
        <v>16</v>
      </c>
      <c r="O997" s="656" t="s">
        <v>64</v>
      </c>
      <c r="P997" s="656" t="s">
        <v>45</v>
      </c>
      <c r="Q997" s="657">
        <v>307402</v>
      </c>
      <c r="R997" s="657">
        <v>307402</v>
      </c>
      <c r="S997" s="657">
        <v>2764680</v>
      </c>
      <c r="T997" s="657">
        <v>2764680</v>
      </c>
      <c r="U997" s="657">
        <v>111658.49</v>
      </c>
      <c r="V997" s="655">
        <v>2021</v>
      </c>
      <c r="W997" s="659"/>
      <c r="X997" s="660">
        <f t="shared" si="47"/>
        <v>24.760141391845796</v>
      </c>
      <c r="Y997" s="661" t="str">
        <f t="shared" si="45"/>
        <v/>
      </c>
      <c r="Z997" s="661" t="str">
        <f t="shared" si="46"/>
        <v/>
      </c>
    </row>
    <row r="998" spans="1:26" s="128" customFormat="1" ht="25" hidden="1">
      <c r="A998" s="655">
        <v>54945</v>
      </c>
      <c r="B998" s="656" t="s">
        <v>33</v>
      </c>
      <c r="C998" s="655" t="s">
        <v>2793</v>
      </c>
      <c r="D998" s="656" t="s">
        <v>1112</v>
      </c>
      <c r="E998" s="656" t="s">
        <v>1113</v>
      </c>
      <c r="F998" s="655">
        <v>4426</v>
      </c>
      <c r="G998" s="656" t="s">
        <v>41</v>
      </c>
      <c r="H998" s="656" t="s">
        <v>1183</v>
      </c>
      <c r="I998" s="656" t="s">
        <v>58</v>
      </c>
      <c r="J998" s="655">
        <v>22</v>
      </c>
      <c r="K998" s="655">
        <v>2</v>
      </c>
      <c r="L998" s="656" t="s">
        <v>52</v>
      </c>
      <c r="M998" s="656" t="s">
        <v>42</v>
      </c>
      <c r="N998" s="656" t="s">
        <v>17</v>
      </c>
      <c r="O998" s="656" t="s">
        <v>82</v>
      </c>
      <c r="P998" s="656" t="s">
        <v>45</v>
      </c>
      <c r="Q998" s="657">
        <v>196542</v>
      </c>
      <c r="R998" s="657">
        <v>196542</v>
      </c>
      <c r="S998" s="657">
        <v>3379064</v>
      </c>
      <c r="T998" s="657">
        <v>3379064</v>
      </c>
      <c r="U998" s="657">
        <v>136472.04999999999</v>
      </c>
      <c r="V998" s="655">
        <v>2021</v>
      </c>
      <c r="W998" s="659"/>
      <c r="X998" s="660">
        <f t="shared" si="47"/>
        <v>24.760117547878853</v>
      </c>
      <c r="Y998" s="661" t="str">
        <f t="shared" si="45"/>
        <v/>
      </c>
      <c r="Z998" s="661" t="str">
        <f t="shared" si="46"/>
        <v/>
      </c>
    </row>
    <row r="999" spans="1:26" s="128" customFormat="1" ht="25" hidden="1">
      <c r="A999" s="655">
        <v>54945</v>
      </c>
      <c r="B999" s="656" t="s">
        <v>33</v>
      </c>
      <c r="C999" s="655" t="s">
        <v>2793</v>
      </c>
      <c r="D999" s="656" t="s">
        <v>1112</v>
      </c>
      <c r="E999" s="656" t="s">
        <v>1113</v>
      </c>
      <c r="F999" s="655">
        <v>4426</v>
      </c>
      <c r="G999" s="656" t="s">
        <v>41</v>
      </c>
      <c r="H999" s="656" t="s">
        <v>1183</v>
      </c>
      <c r="I999" s="656" t="s">
        <v>58</v>
      </c>
      <c r="J999" s="655">
        <v>22</v>
      </c>
      <c r="K999" s="655">
        <v>2</v>
      </c>
      <c r="L999" s="656" t="s">
        <v>52</v>
      </c>
      <c r="M999" s="656" t="s">
        <v>42</v>
      </c>
      <c r="N999" s="656" t="s">
        <v>39</v>
      </c>
      <c r="O999" s="656" t="s">
        <v>39</v>
      </c>
      <c r="P999" s="656" t="s">
        <v>1037</v>
      </c>
      <c r="Q999" s="657">
        <v>25787</v>
      </c>
      <c r="R999" s="657">
        <v>25787</v>
      </c>
      <c r="S999" s="657">
        <v>26431</v>
      </c>
      <c r="T999" s="657">
        <v>26431</v>
      </c>
      <c r="U999" s="657">
        <v>1058.453</v>
      </c>
      <c r="V999" s="655">
        <v>2021</v>
      </c>
      <c r="W999" s="659"/>
      <c r="X999" s="660">
        <f t="shared" si="47"/>
        <v>24.971349696207579</v>
      </c>
      <c r="Y999" s="661" t="str">
        <f t="shared" si="45"/>
        <v/>
      </c>
      <c r="Z999" s="661" t="str">
        <f t="shared" si="46"/>
        <v/>
      </c>
    </row>
    <row r="1000" spans="1:26" s="128" customFormat="1" ht="25" hidden="1">
      <c r="A1000" s="655">
        <v>54953</v>
      </c>
      <c r="B1000" s="656" t="s">
        <v>33</v>
      </c>
      <c r="C1000" s="655" t="s">
        <v>2793</v>
      </c>
      <c r="D1000" s="656" t="s">
        <v>990</v>
      </c>
      <c r="E1000" s="656" t="s">
        <v>783</v>
      </c>
      <c r="F1000" s="655">
        <v>55754</v>
      </c>
      <c r="G1000" s="656" t="s">
        <v>57</v>
      </c>
      <c r="H1000" s="656" t="s">
        <v>1182</v>
      </c>
      <c r="I1000" s="656" t="s">
        <v>58</v>
      </c>
      <c r="J1000" s="655">
        <v>22</v>
      </c>
      <c r="K1000" s="655">
        <v>2</v>
      </c>
      <c r="L1000" s="656" t="s">
        <v>52</v>
      </c>
      <c r="M1000" s="656" t="s">
        <v>35</v>
      </c>
      <c r="N1000" s="656" t="s">
        <v>36</v>
      </c>
      <c r="O1000" s="656" t="s">
        <v>37</v>
      </c>
      <c r="P1000" s="656" t="s">
        <v>1176</v>
      </c>
      <c r="Q1000" s="657">
        <v>0</v>
      </c>
      <c r="R1000" s="657">
        <v>0</v>
      </c>
      <c r="S1000" s="657">
        <v>1926855</v>
      </c>
      <c r="T1000" s="657">
        <v>1926855</v>
      </c>
      <c r="U1000" s="657">
        <v>217896</v>
      </c>
      <c r="V1000" s="655">
        <v>2021</v>
      </c>
      <c r="W1000" s="659"/>
      <c r="X1000" s="660">
        <f t="shared" si="47"/>
        <v>8.8430030840400917</v>
      </c>
      <c r="Y1000" s="661" t="str">
        <f t="shared" si="45"/>
        <v/>
      </c>
      <c r="Z1000" s="661" t="str">
        <f t="shared" si="46"/>
        <v/>
      </c>
    </row>
    <row r="1001" spans="1:26" s="128" customFormat="1" ht="25">
      <c r="A1001" s="655">
        <v>54981</v>
      </c>
      <c r="B1001" s="656" t="s">
        <v>33</v>
      </c>
      <c r="C1001" s="655" t="s">
        <v>2793</v>
      </c>
      <c r="D1001" s="656" t="s">
        <v>991</v>
      </c>
      <c r="E1001" s="656" t="s">
        <v>601</v>
      </c>
      <c r="F1001" s="655">
        <v>8776</v>
      </c>
      <c r="G1001" s="656" t="s">
        <v>81</v>
      </c>
      <c r="H1001" s="656" t="s">
        <v>1183</v>
      </c>
      <c r="I1001" s="656" t="s">
        <v>58</v>
      </c>
      <c r="J1001" s="655">
        <v>22</v>
      </c>
      <c r="K1001" s="655">
        <v>1</v>
      </c>
      <c r="L1001" s="656" t="s">
        <v>34</v>
      </c>
      <c r="M1001" s="656" t="s">
        <v>35</v>
      </c>
      <c r="N1001" s="656" t="s">
        <v>36</v>
      </c>
      <c r="O1001" s="656" t="s">
        <v>37</v>
      </c>
      <c r="P1001" s="656" t="s">
        <v>1176</v>
      </c>
      <c r="Q1001" s="657">
        <v>0</v>
      </c>
      <c r="R1001" s="657">
        <v>0</v>
      </c>
      <c r="S1001" s="657">
        <v>0</v>
      </c>
      <c r="T1001" s="657">
        <v>0</v>
      </c>
      <c r="U1001" s="657">
        <v>0</v>
      </c>
      <c r="V1001" s="655">
        <v>2021</v>
      </c>
      <c r="W1001" s="659"/>
      <c r="X1001" s="660" t="str">
        <f t="shared" si="47"/>
        <v/>
      </c>
      <c r="Y1001" s="661" t="str">
        <f t="shared" si="45"/>
        <v/>
      </c>
      <c r="Z1001" s="661" t="str">
        <f t="shared" si="46"/>
        <v/>
      </c>
    </row>
    <row r="1002" spans="1:26" s="128" customFormat="1" hidden="1">
      <c r="A1002" s="655">
        <v>55006</v>
      </c>
      <c r="B1002" s="656" t="s">
        <v>33</v>
      </c>
      <c r="C1002" s="655" t="s">
        <v>2793</v>
      </c>
      <c r="D1002" s="656" t="s">
        <v>1114</v>
      </c>
      <c r="E1002" s="656" t="s">
        <v>1841</v>
      </c>
      <c r="F1002" s="655">
        <v>57249</v>
      </c>
      <c r="G1002" s="656" t="s">
        <v>96</v>
      </c>
      <c r="H1002" s="656" t="s">
        <v>1183</v>
      </c>
      <c r="I1002" s="656" t="s">
        <v>58</v>
      </c>
      <c r="J1002" s="655">
        <v>22</v>
      </c>
      <c r="K1002" s="655">
        <v>2</v>
      </c>
      <c r="L1002" s="656" t="s">
        <v>52</v>
      </c>
      <c r="M1002" s="656" t="s">
        <v>51</v>
      </c>
      <c r="N1002" s="656" t="s">
        <v>63</v>
      </c>
      <c r="O1002" s="656" t="s">
        <v>64</v>
      </c>
      <c r="P1002" s="656" t="s">
        <v>1037</v>
      </c>
      <c r="Q1002" s="657">
        <v>420852</v>
      </c>
      <c r="R1002" s="657">
        <v>420852</v>
      </c>
      <c r="S1002" s="657">
        <v>162030</v>
      </c>
      <c r="T1002" s="657">
        <v>162030</v>
      </c>
      <c r="U1002" s="657">
        <v>14664</v>
      </c>
      <c r="V1002" s="655">
        <v>2021</v>
      </c>
      <c r="W1002" s="659"/>
      <c r="X1002" s="660">
        <f t="shared" si="47"/>
        <v>11.049509001636661</v>
      </c>
      <c r="Y1002" s="661" t="str">
        <f t="shared" si="45"/>
        <v/>
      </c>
      <c r="Z1002" s="661" t="str">
        <f t="shared" si="46"/>
        <v/>
      </c>
    </row>
    <row r="1003" spans="1:26" s="128" customFormat="1">
      <c r="A1003" s="655">
        <v>55026</v>
      </c>
      <c r="B1003" s="656" t="s">
        <v>33</v>
      </c>
      <c r="C1003" s="655" t="s">
        <v>2793</v>
      </c>
      <c r="D1003" s="656" t="s">
        <v>160</v>
      </c>
      <c r="E1003" s="656" t="s">
        <v>992</v>
      </c>
      <c r="F1003" s="655">
        <v>55773</v>
      </c>
      <c r="G1003" s="656" t="s">
        <v>81</v>
      </c>
      <c r="H1003" s="656" t="s">
        <v>1183</v>
      </c>
      <c r="I1003" s="656" t="s">
        <v>58</v>
      </c>
      <c r="J1003" s="655">
        <v>22</v>
      </c>
      <c r="K1003" s="655">
        <v>2</v>
      </c>
      <c r="L1003" s="656" t="s">
        <v>52</v>
      </c>
      <c r="M1003" s="656" t="s">
        <v>62</v>
      </c>
      <c r="N1003" s="656" t="s">
        <v>39</v>
      </c>
      <c r="O1003" s="656" t="s">
        <v>39</v>
      </c>
      <c r="P1003" s="656" t="s">
        <v>1037</v>
      </c>
      <c r="Q1003" s="657">
        <v>1993267</v>
      </c>
      <c r="R1003" s="657">
        <v>1993267</v>
      </c>
      <c r="S1003" s="657">
        <v>2047333</v>
      </c>
      <c r="T1003" s="657">
        <v>2047333</v>
      </c>
      <c r="U1003" s="657">
        <v>253579</v>
      </c>
      <c r="V1003" s="655">
        <v>2021</v>
      </c>
      <c r="W1003" s="659" t="s">
        <v>3675</v>
      </c>
      <c r="X1003" s="660">
        <f t="shared" si="47"/>
        <v>8.0737482204756699</v>
      </c>
      <c r="Y1003" s="661" t="str">
        <f t="shared" si="45"/>
        <v/>
      </c>
      <c r="Z1003" s="661" t="str">
        <f t="shared" si="46"/>
        <v/>
      </c>
    </row>
    <row r="1004" spans="1:26" s="128" customFormat="1" ht="25" hidden="1">
      <c r="A1004" s="655">
        <v>55031</v>
      </c>
      <c r="B1004" s="656" t="s">
        <v>54</v>
      </c>
      <c r="C1004" s="655" t="s">
        <v>2793</v>
      </c>
      <c r="D1004" s="656" t="s">
        <v>993</v>
      </c>
      <c r="E1004" s="656" t="s">
        <v>3116</v>
      </c>
      <c r="F1004" s="655">
        <v>55738</v>
      </c>
      <c r="G1004" s="656" t="s">
        <v>90</v>
      </c>
      <c r="H1004" s="656" t="s">
        <v>1183</v>
      </c>
      <c r="I1004" s="656" t="s">
        <v>58</v>
      </c>
      <c r="J1004" s="655">
        <v>322</v>
      </c>
      <c r="K1004" s="655">
        <v>7</v>
      </c>
      <c r="L1004" s="656" t="s">
        <v>409</v>
      </c>
      <c r="M1004" s="656" t="s">
        <v>50</v>
      </c>
      <c r="N1004" s="656" t="s">
        <v>46</v>
      </c>
      <c r="O1004" s="656" t="s">
        <v>46</v>
      </c>
      <c r="P1004" s="656" t="s">
        <v>47</v>
      </c>
      <c r="Q1004" s="657">
        <v>1628</v>
      </c>
      <c r="R1004" s="657">
        <v>602</v>
      </c>
      <c r="S1004" s="657">
        <v>9393</v>
      </c>
      <c r="T1004" s="657">
        <v>3489</v>
      </c>
      <c r="U1004" s="657">
        <v>736.60599999999999</v>
      </c>
      <c r="V1004" s="655">
        <v>2021</v>
      </c>
      <c r="W1004" s="659"/>
      <c r="X1004" s="660" t="str">
        <f t="shared" si="47"/>
        <v/>
      </c>
      <c r="Y1004" s="661" t="str">
        <f t="shared" si="45"/>
        <v/>
      </c>
      <c r="Z1004" s="661">
        <f t="shared" si="46"/>
        <v>5.9035781830600227</v>
      </c>
    </row>
    <row r="1005" spans="1:26" s="128" customFormat="1" ht="25" hidden="1">
      <c r="A1005" s="655">
        <v>55031</v>
      </c>
      <c r="B1005" s="656" t="s">
        <v>54</v>
      </c>
      <c r="C1005" s="655" t="s">
        <v>2793</v>
      </c>
      <c r="D1005" s="656" t="s">
        <v>993</v>
      </c>
      <c r="E1005" s="656" t="s">
        <v>3116</v>
      </c>
      <c r="F1005" s="655">
        <v>55738</v>
      </c>
      <c r="G1005" s="656" t="s">
        <v>90</v>
      </c>
      <c r="H1005" s="656" t="s">
        <v>1183</v>
      </c>
      <c r="I1005" s="656" t="s">
        <v>58</v>
      </c>
      <c r="J1005" s="655">
        <v>322</v>
      </c>
      <c r="K1005" s="655">
        <v>7</v>
      </c>
      <c r="L1005" s="656" t="s">
        <v>409</v>
      </c>
      <c r="M1005" s="656" t="s">
        <v>50</v>
      </c>
      <c r="N1005" s="656" t="s">
        <v>76</v>
      </c>
      <c r="O1005" s="656" t="s">
        <v>67</v>
      </c>
      <c r="P1005" s="656" t="s">
        <v>47</v>
      </c>
      <c r="Q1005" s="657">
        <v>0</v>
      </c>
      <c r="R1005" s="657">
        <v>0</v>
      </c>
      <c r="S1005" s="657">
        <v>0</v>
      </c>
      <c r="T1005" s="657">
        <v>0</v>
      </c>
      <c r="U1005" s="657">
        <v>0</v>
      </c>
      <c r="V1005" s="655">
        <v>2021</v>
      </c>
      <c r="W1005" s="659"/>
      <c r="X1005" s="660" t="str">
        <f t="shared" si="47"/>
        <v/>
      </c>
      <c r="Y1005" s="661" t="str">
        <f t="shared" si="45"/>
        <v/>
      </c>
      <c r="Z1005" s="661" t="str">
        <f t="shared" si="46"/>
        <v/>
      </c>
    </row>
    <row r="1006" spans="1:26" s="128" customFormat="1" ht="25" hidden="1">
      <c r="A1006" s="655">
        <v>55031</v>
      </c>
      <c r="B1006" s="656" t="s">
        <v>54</v>
      </c>
      <c r="C1006" s="655" t="s">
        <v>2793</v>
      </c>
      <c r="D1006" s="656" t="s">
        <v>993</v>
      </c>
      <c r="E1006" s="656" t="s">
        <v>3116</v>
      </c>
      <c r="F1006" s="655">
        <v>55738</v>
      </c>
      <c r="G1006" s="656" t="s">
        <v>90</v>
      </c>
      <c r="H1006" s="656" t="s">
        <v>1183</v>
      </c>
      <c r="I1006" s="656" t="s">
        <v>58</v>
      </c>
      <c r="J1006" s="655">
        <v>322</v>
      </c>
      <c r="K1006" s="655">
        <v>7</v>
      </c>
      <c r="L1006" s="656" t="s">
        <v>409</v>
      </c>
      <c r="M1006" s="656" t="s">
        <v>50</v>
      </c>
      <c r="N1006" s="656" t="s">
        <v>39</v>
      </c>
      <c r="O1006" s="656" t="s">
        <v>39</v>
      </c>
      <c r="P1006" s="656" t="s">
        <v>1037</v>
      </c>
      <c r="Q1006" s="657">
        <v>4870398</v>
      </c>
      <c r="R1006" s="657">
        <v>1809768</v>
      </c>
      <c r="S1006" s="657">
        <v>4870398</v>
      </c>
      <c r="T1006" s="657">
        <v>1809768</v>
      </c>
      <c r="U1006" s="657">
        <v>381918.39</v>
      </c>
      <c r="V1006" s="655">
        <v>2021</v>
      </c>
      <c r="W1006" s="659"/>
      <c r="X1006" s="660" t="str">
        <f t="shared" si="47"/>
        <v/>
      </c>
      <c r="Y1006" s="661">
        <f t="shared" si="45"/>
        <v>5.9039154644762943</v>
      </c>
      <c r="Z1006" s="661" t="str">
        <f t="shared" si="46"/>
        <v/>
      </c>
    </row>
    <row r="1007" spans="1:26" s="128" customFormat="1">
      <c r="A1007" s="655">
        <v>55041</v>
      </c>
      <c r="B1007" s="656" t="s">
        <v>33</v>
      </c>
      <c r="C1007" s="655" t="s">
        <v>2793</v>
      </c>
      <c r="D1007" s="656" t="s">
        <v>161</v>
      </c>
      <c r="E1007" s="656" t="s">
        <v>162</v>
      </c>
      <c r="F1007" s="655">
        <v>1616</v>
      </c>
      <c r="G1007" s="656" t="s">
        <v>81</v>
      </c>
      <c r="H1007" s="656" t="s">
        <v>1183</v>
      </c>
      <c r="I1007" s="656" t="s">
        <v>58</v>
      </c>
      <c r="J1007" s="655">
        <v>22</v>
      </c>
      <c r="K1007" s="655">
        <v>2</v>
      </c>
      <c r="L1007" s="656" t="s">
        <v>52</v>
      </c>
      <c r="M1007" s="656" t="s">
        <v>62</v>
      </c>
      <c r="N1007" s="656" t="s">
        <v>39</v>
      </c>
      <c r="O1007" s="656" t="s">
        <v>39</v>
      </c>
      <c r="P1007" s="656" t="s">
        <v>1037</v>
      </c>
      <c r="Q1007" s="657">
        <v>5551320</v>
      </c>
      <c r="R1007" s="657">
        <v>5551320</v>
      </c>
      <c r="S1007" s="657">
        <v>5720847</v>
      </c>
      <c r="T1007" s="657">
        <v>5720847</v>
      </c>
      <c r="U1007" s="657">
        <v>779620</v>
      </c>
      <c r="V1007" s="655">
        <v>2021</v>
      </c>
      <c r="W1007" s="659" t="s">
        <v>3675</v>
      </c>
      <c r="X1007" s="660">
        <f t="shared" si="47"/>
        <v>7.3379941509966393</v>
      </c>
      <c r="Y1007" s="661" t="str">
        <f t="shared" si="45"/>
        <v/>
      </c>
      <c r="Z1007" s="661" t="str">
        <f t="shared" si="46"/>
        <v/>
      </c>
    </row>
    <row r="1008" spans="1:26" s="128" customFormat="1" hidden="1">
      <c r="A1008" s="655">
        <v>55042</v>
      </c>
      <c r="B1008" s="656" t="s">
        <v>33</v>
      </c>
      <c r="C1008" s="655" t="s">
        <v>2793</v>
      </c>
      <c r="D1008" s="656" t="s">
        <v>163</v>
      </c>
      <c r="E1008" s="656" t="s">
        <v>164</v>
      </c>
      <c r="F1008" s="655">
        <v>2232</v>
      </c>
      <c r="G1008" s="656" t="s">
        <v>41</v>
      </c>
      <c r="H1008" s="656" t="s">
        <v>1183</v>
      </c>
      <c r="I1008" s="656" t="s">
        <v>58</v>
      </c>
      <c r="J1008" s="655">
        <v>22</v>
      </c>
      <c r="K1008" s="655">
        <v>2</v>
      </c>
      <c r="L1008" s="656" t="s">
        <v>52</v>
      </c>
      <c r="M1008" s="656" t="s">
        <v>38</v>
      </c>
      <c r="N1008" s="656" t="s">
        <v>39</v>
      </c>
      <c r="O1008" s="656" t="s">
        <v>39</v>
      </c>
      <c r="P1008" s="656" t="s">
        <v>1037</v>
      </c>
      <c r="Q1008" s="657">
        <v>0</v>
      </c>
      <c r="R1008" s="657">
        <v>0</v>
      </c>
      <c r="S1008" s="657">
        <v>0</v>
      </c>
      <c r="T1008" s="657">
        <v>0</v>
      </c>
      <c r="U1008" s="657">
        <v>806284</v>
      </c>
      <c r="V1008" s="655">
        <v>2021</v>
      </c>
      <c r="W1008" s="659" t="s">
        <v>3675</v>
      </c>
      <c r="X1008" s="660" t="str">
        <f t="shared" si="47"/>
        <v/>
      </c>
      <c r="Y1008" s="661" t="str">
        <f t="shared" si="45"/>
        <v/>
      </c>
      <c r="Z1008" s="661" t="str">
        <f t="shared" si="46"/>
        <v/>
      </c>
    </row>
    <row r="1009" spans="1:26" s="128" customFormat="1" hidden="1">
      <c r="A1009" s="655">
        <v>55042</v>
      </c>
      <c r="B1009" s="656" t="s">
        <v>33</v>
      </c>
      <c r="C1009" s="655" t="s">
        <v>2793</v>
      </c>
      <c r="D1009" s="656" t="s">
        <v>163</v>
      </c>
      <c r="E1009" s="656" t="s">
        <v>164</v>
      </c>
      <c r="F1009" s="655">
        <v>2232</v>
      </c>
      <c r="G1009" s="656" t="s">
        <v>41</v>
      </c>
      <c r="H1009" s="656" t="s">
        <v>1183</v>
      </c>
      <c r="I1009" s="656" t="s">
        <v>58</v>
      </c>
      <c r="J1009" s="655">
        <v>22</v>
      </c>
      <c r="K1009" s="655">
        <v>2</v>
      </c>
      <c r="L1009" s="656" t="s">
        <v>52</v>
      </c>
      <c r="M1009" s="656" t="s">
        <v>41</v>
      </c>
      <c r="N1009" s="656" t="s">
        <v>39</v>
      </c>
      <c r="O1009" s="656" t="s">
        <v>39</v>
      </c>
      <c r="P1009" s="656" t="s">
        <v>1037</v>
      </c>
      <c r="Q1009" s="657">
        <v>15959272</v>
      </c>
      <c r="R1009" s="657">
        <v>15959272</v>
      </c>
      <c r="S1009" s="657">
        <v>16482631</v>
      </c>
      <c r="T1009" s="657">
        <v>16482631</v>
      </c>
      <c r="U1009" s="657">
        <v>1488579</v>
      </c>
      <c r="V1009" s="655">
        <v>2021</v>
      </c>
      <c r="W1009" s="659" t="s">
        <v>3675</v>
      </c>
      <c r="X1009" s="660">
        <f t="shared" si="47"/>
        <v>11.072728420863118</v>
      </c>
      <c r="Y1009" s="661" t="str">
        <f t="shared" si="45"/>
        <v/>
      </c>
      <c r="Z1009" s="661" t="str">
        <f t="shared" si="46"/>
        <v/>
      </c>
    </row>
    <row r="1010" spans="1:26" s="128" customFormat="1" hidden="1">
      <c r="A1010" s="655">
        <v>55048</v>
      </c>
      <c r="B1010" s="656" t="s">
        <v>33</v>
      </c>
      <c r="C1010" s="655" t="s">
        <v>2793</v>
      </c>
      <c r="D1010" s="656" t="s">
        <v>165</v>
      </c>
      <c r="E1010" s="656" t="s">
        <v>1198</v>
      </c>
      <c r="F1010" s="655">
        <v>55510</v>
      </c>
      <c r="G1010" s="656" t="s">
        <v>131</v>
      </c>
      <c r="H1010" s="656" t="s">
        <v>1183</v>
      </c>
      <c r="I1010" s="656" t="s">
        <v>58</v>
      </c>
      <c r="J1010" s="655">
        <v>22</v>
      </c>
      <c r="K1010" s="655">
        <v>2</v>
      </c>
      <c r="L1010" s="656" t="s">
        <v>52</v>
      </c>
      <c r="M1010" s="656" t="s">
        <v>38</v>
      </c>
      <c r="N1010" s="656" t="s">
        <v>39</v>
      </c>
      <c r="O1010" s="656" t="s">
        <v>39</v>
      </c>
      <c r="P1010" s="656" t="s">
        <v>1037</v>
      </c>
      <c r="Q1010" s="657">
        <v>0</v>
      </c>
      <c r="R1010" s="657">
        <v>0</v>
      </c>
      <c r="S1010" s="657">
        <v>0</v>
      </c>
      <c r="T1010" s="657">
        <v>0</v>
      </c>
      <c r="U1010" s="657">
        <v>514818</v>
      </c>
      <c r="V1010" s="655">
        <v>2021</v>
      </c>
      <c r="W1010" s="659" t="s">
        <v>3675</v>
      </c>
      <c r="X1010" s="660" t="str">
        <f t="shared" si="47"/>
        <v/>
      </c>
      <c r="Y1010" s="661" t="str">
        <f t="shared" si="45"/>
        <v/>
      </c>
      <c r="Z1010" s="661" t="str">
        <f t="shared" si="46"/>
        <v/>
      </c>
    </row>
    <row r="1011" spans="1:26" s="128" customFormat="1" hidden="1">
      <c r="A1011" s="655">
        <v>55048</v>
      </c>
      <c r="B1011" s="656" t="s">
        <v>33</v>
      </c>
      <c r="C1011" s="655" t="s">
        <v>2793</v>
      </c>
      <c r="D1011" s="656" t="s">
        <v>165</v>
      </c>
      <c r="E1011" s="656" t="s">
        <v>1198</v>
      </c>
      <c r="F1011" s="655">
        <v>55510</v>
      </c>
      <c r="G1011" s="656" t="s">
        <v>131</v>
      </c>
      <c r="H1011" s="656" t="s">
        <v>1183</v>
      </c>
      <c r="I1011" s="656" t="s">
        <v>58</v>
      </c>
      <c r="J1011" s="655">
        <v>22</v>
      </c>
      <c r="K1011" s="655">
        <v>2</v>
      </c>
      <c r="L1011" s="656" t="s">
        <v>52</v>
      </c>
      <c r="M1011" s="656" t="s">
        <v>41</v>
      </c>
      <c r="N1011" s="656" t="s">
        <v>39</v>
      </c>
      <c r="O1011" s="656" t="s">
        <v>39</v>
      </c>
      <c r="P1011" s="656" t="s">
        <v>1037</v>
      </c>
      <c r="Q1011" s="657">
        <v>10341439</v>
      </c>
      <c r="R1011" s="657">
        <v>10341439</v>
      </c>
      <c r="S1011" s="657">
        <v>10620658</v>
      </c>
      <c r="T1011" s="657">
        <v>10620658</v>
      </c>
      <c r="U1011" s="657">
        <v>996139</v>
      </c>
      <c r="V1011" s="655">
        <v>2021</v>
      </c>
      <c r="W1011" s="659" t="s">
        <v>3675</v>
      </c>
      <c r="X1011" s="660">
        <f t="shared" si="47"/>
        <v>10.661823299760375</v>
      </c>
      <c r="Y1011" s="661" t="str">
        <f t="shared" si="45"/>
        <v/>
      </c>
      <c r="Z1011" s="661" t="str">
        <f t="shared" si="46"/>
        <v/>
      </c>
    </row>
    <row r="1012" spans="1:26" s="128" customFormat="1" ht="25" hidden="1">
      <c r="A1012" s="655">
        <v>55068</v>
      </c>
      <c r="B1012" s="656" t="s">
        <v>33</v>
      </c>
      <c r="C1012" s="655" t="s">
        <v>2793</v>
      </c>
      <c r="D1012" s="656" t="s">
        <v>166</v>
      </c>
      <c r="E1012" s="656" t="s">
        <v>167</v>
      </c>
      <c r="F1012" s="655">
        <v>4966</v>
      </c>
      <c r="G1012" s="656" t="s">
        <v>90</v>
      </c>
      <c r="H1012" s="656" t="s">
        <v>1183</v>
      </c>
      <c r="I1012" s="656" t="s">
        <v>58</v>
      </c>
      <c r="J1012" s="655">
        <v>22</v>
      </c>
      <c r="K1012" s="655">
        <v>2</v>
      </c>
      <c r="L1012" s="656" t="s">
        <v>52</v>
      </c>
      <c r="M1012" s="656" t="s">
        <v>38</v>
      </c>
      <c r="N1012" s="656" t="s">
        <v>39</v>
      </c>
      <c r="O1012" s="656" t="s">
        <v>39</v>
      </c>
      <c r="P1012" s="656" t="s">
        <v>1037</v>
      </c>
      <c r="Q1012" s="657">
        <v>0</v>
      </c>
      <c r="R1012" s="657">
        <v>0</v>
      </c>
      <c r="S1012" s="657">
        <v>0</v>
      </c>
      <c r="T1012" s="657">
        <v>0</v>
      </c>
      <c r="U1012" s="657">
        <v>205201</v>
      </c>
      <c r="V1012" s="655">
        <v>2021</v>
      </c>
      <c r="W1012" s="659" t="s">
        <v>3675</v>
      </c>
      <c r="X1012" s="660" t="str">
        <f t="shared" si="47"/>
        <v/>
      </c>
      <c r="Y1012" s="661" t="str">
        <f t="shared" si="45"/>
        <v/>
      </c>
      <c r="Z1012" s="661" t="str">
        <f t="shared" si="46"/>
        <v/>
      </c>
    </row>
    <row r="1013" spans="1:26" s="128" customFormat="1" ht="25" hidden="1">
      <c r="A1013" s="655">
        <v>55068</v>
      </c>
      <c r="B1013" s="656" t="s">
        <v>33</v>
      </c>
      <c r="C1013" s="655" t="s">
        <v>2793</v>
      </c>
      <c r="D1013" s="656" t="s">
        <v>166</v>
      </c>
      <c r="E1013" s="656" t="s">
        <v>167</v>
      </c>
      <c r="F1013" s="655">
        <v>4966</v>
      </c>
      <c r="G1013" s="656" t="s">
        <v>90</v>
      </c>
      <c r="H1013" s="656" t="s">
        <v>1183</v>
      </c>
      <c r="I1013" s="656" t="s">
        <v>58</v>
      </c>
      <c r="J1013" s="655">
        <v>22</v>
      </c>
      <c r="K1013" s="655">
        <v>2</v>
      </c>
      <c r="L1013" s="656" t="s">
        <v>52</v>
      </c>
      <c r="M1013" s="656" t="s">
        <v>41</v>
      </c>
      <c r="N1013" s="656" t="s">
        <v>39</v>
      </c>
      <c r="O1013" s="656" t="s">
        <v>39</v>
      </c>
      <c r="P1013" s="656" t="s">
        <v>1037</v>
      </c>
      <c r="Q1013" s="657">
        <v>3877321</v>
      </c>
      <c r="R1013" s="657">
        <v>3877321</v>
      </c>
      <c r="S1013" s="657">
        <v>4028599</v>
      </c>
      <c r="T1013" s="657">
        <v>4028599</v>
      </c>
      <c r="U1013" s="657">
        <v>329481</v>
      </c>
      <c r="V1013" s="655">
        <v>2021</v>
      </c>
      <c r="W1013" s="659" t="s">
        <v>3675</v>
      </c>
      <c r="X1013" s="660">
        <f t="shared" si="47"/>
        <v>12.227105660113937</v>
      </c>
      <c r="Y1013" s="661" t="str">
        <f t="shared" si="45"/>
        <v/>
      </c>
      <c r="Z1013" s="661" t="str">
        <f t="shared" si="46"/>
        <v/>
      </c>
    </row>
    <row r="1014" spans="1:26" s="128" customFormat="1" ht="25">
      <c r="A1014" s="655">
        <v>55079</v>
      </c>
      <c r="B1014" s="656" t="s">
        <v>33</v>
      </c>
      <c r="C1014" s="655" t="s">
        <v>2793</v>
      </c>
      <c r="D1014" s="656" t="s">
        <v>168</v>
      </c>
      <c r="E1014" s="656" t="s">
        <v>3118</v>
      </c>
      <c r="F1014" s="655">
        <v>12713</v>
      </c>
      <c r="G1014" s="656" t="s">
        <v>81</v>
      </c>
      <c r="H1014" s="656" t="s">
        <v>1183</v>
      </c>
      <c r="I1014" s="656" t="s">
        <v>58</v>
      </c>
      <c r="J1014" s="655">
        <v>22</v>
      </c>
      <c r="K1014" s="655">
        <v>2</v>
      </c>
      <c r="L1014" s="656" t="s">
        <v>52</v>
      </c>
      <c r="M1014" s="656" t="s">
        <v>38</v>
      </c>
      <c r="N1014" s="656" t="s">
        <v>46</v>
      </c>
      <c r="O1014" s="656" t="s">
        <v>46</v>
      </c>
      <c r="P1014" s="656" t="s">
        <v>47</v>
      </c>
      <c r="Q1014" s="657">
        <v>0</v>
      </c>
      <c r="R1014" s="657">
        <v>0</v>
      </c>
      <c r="S1014" s="657">
        <v>0</v>
      </c>
      <c r="T1014" s="657">
        <v>0</v>
      </c>
      <c r="U1014" s="657">
        <v>0</v>
      </c>
      <c r="V1014" s="655">
        <v>2021</v>
      </c>
      <c r="W1014" s="659" t="s">
        <v>3675</v>
      </c>
      <c r="X1014" s="660" t="str">
        <f t="shared" si="47"/>
        <v/>
      </c>
      <c r="Y1014" s="661" t="str">
        <f t="shared" si="45"/>
        <v/>
      </c>
      <c r="Z1014" s="661" t="str">
        <f t="shared" si="46"/>
        <v/>
      </c>
    </row>
    <row r="1015" spans="1:26" s="128" customFormat="1" ht="25">
      <c r="A1015" s="655">
        <v>55079</v>
      </c>
      <c r="B1015" s="656" t="s">
        <v>33</v>
      </c>
      <c r="C1015" s="655" t="s">
        <v>2793</v>
      </c>
      <c r="D1015" s="656" t="s">
        <v>168</v>
      </c>
      <c r="E1015" s="656" t="s">
        <v>3118</v>
      </c>
      <c r="F1015" s="655">
        <v>12713</v>
      </c>
      <c r="G1015" s="656" t="s">
        <v>81</v>
      </c>
      <c r="H1015" s="656" t="s">
        <v>1183</v>
      </c>
      <c r="I1015" s="656" t="s">
        <v>58</v>
      </c>
      <c r="J1015" s="655">
        <v>22</v>
      </c>
      <c r="K1015" s="655">
        <v>2</v>
      </c>
      <c r="L1015" s="656" t="s">
        <v>52</v>
      </c>
      <c r="M1015" s="656" t="s">
        <v>38</v>
      </c>
      <c r="N1015" s="656" t="s">
        <v>39</v>
      </c>
      <c r="O1015" s="656" t="s">
        <v>39</v>
      </c>
      <c r="P1015" s="656" t="s">
        <v>1037</v>
      </c>
      <c r="Q1015" s="657">
        <v>0</v>
      </c>
      <c r="R1015" s="657">
        <v>0</v>
      </c>
      <c r="S1015" s="657">
        <v>0</v>
      </c>
      <c r="T1015" s="657">
        <v>0</v>
      </c>
      <c r="U1015" s="657">
        <v>230173</v>
      </c>
      <c r="V1015" s="655">
        <v>2021</v>
      </c>
      <c r="W1015" s="659" t="s">
        <v>3675</v>
      </c>
      <c r="X1015" s="660" t="str">
        <f t="shared" si="47"/>
        <v/>
      </c>
      <c r="Y1015" s="661" t="str">
        <f t="shared" si="45"/>
        <v/>
      </c>
      <c r="Z1015" s="661" t="str">
        <f t="shared" si="46"/>
        <v/>
      </c>
    </row>
    <row r="1016" spans="1:26" s="128" customFormat="1" ht="25">
      <c r="A1016" s="655">
        <v>55079</v>
      </c>
      <c r="B1016" s="656" t="s">
        <v>33</v>
      </c>
      <c r="C1016" s="655" t="s">
        <v>2793</v>
      </c>
      <c r="D1016" s="656" t="s">
        <v>168</v>
      </c>
      <c r="E1016" s="656" t="s">
        <v>3118</v>
      </c>
      <c r="F1016" s="655">
        <v>12713</v>
      </c>
      <c r="G1016" s="656" t="s">
        <v>81</v>
      </c>
      <c r="H1016" s="656" t="s">
        <v>1183</v>
      </c>
      <c r="I1016" s="656" t="s">
        <v>58</v>
      </c>
      <c r="J1016" s="655">
        <v>22</v>
      </c>
      <c r="K1016" s="655">
        <v>2</v>
      </c>
      <c r="L1016" s="656" t="s">
        <v>52</v>
      </c>
      <c r="M1016" s="656" t="s">
        <v>41</v>
      </c>
      <c r="N1016" s="656" t="s">
        <v>46</v>
      </c>
      <c r="O1016" s="656" t="s">
        <v>46</v>
      </c>
      <c r="P1016" s="656" t="s">
        <v>47</v>
      </c>
      <c r="Q1016" s="657">
        <v>0</v>
      </c>
      <c r="R1016" s="657">
        <v>0</v>
      </c>
      <c r="S1016" s="657">
        <v>0</v>
      </c>
      <c r="T1016" s="657">
        <v>0</v>
      </c>
      <c r="U1016" s="657">
        <v>0</v>
      </c>
      <c r="V1016" s="655">
        <v>2021</v>
      </c>
      <c r="W1016" s="659" t="s">
        <v>3675</v>
      </c>
      <c r="X1016" s="660" t="str">
        <f t="shared" si="47"/>
        <v/>
      </c>
      <c r="Y1016" s="661" t="str">
        <f t="shared" si="45"/>
        <v/>
      </c>
      <c r="Z1016" s="661" t="str">
        <f t="shared" si="46"/>
        <v/>
      </c>
    </row>
    <row r="1017" spans="1:26" s="128" customFormat="1" ht="25">
      <c r="A1017" s="655">
        <v>55079</v>
      </c>
      <c r="B1017" s="656" t="s">
        <v>33</v>
      </c>
      <c r="C1017" s="655" t="s">
        <v>2793</v>
      </c>
      <c r="D1017" s="656" t="s">
        <v>168</v>
      </c>
      <c r="E1017" s="656" t="s">
        <v>3118</v>
      </c>
      <c r="F1017" s="655">
        <v>12713</v>
      </c>
      <c r="G1017" s="656" t="s">
        <v>81</v>
      </c>
      <c r="H1017" s="656" t="s">
        <v>1183</v>
      </c>
      <c r="I1017" s="656" t="s">
        <v>58</v>
      </c>
      <c r="J1017" s="655">
        <v>22</v>
      </c>
      <c r="K1017" s="655">
        <v>2</v>
      </c>
      <c r="L1017" s="656" t="s">
        <v>52</v>
      </c>
      <c r="M1017" s="656" t="s">
        <v>41</v>
      </c>
      <c r="N1017" s="656" t="s">
        <v>39</v>
      </c>
      <c r="O1017" s="656" t="s">
        <v>39</v>
      </c>
      <c r="P1017" s="656" t="s">
        <v>1037</v>
      </c>
      <c r="Q1017" s="657">
        <v>4911145</v>
      </c>
      <c r="R1017" s="657">
        <v>4911145</v>
      </c>
      <c r="S1017" s="657">
        <v>5057534</v>
      </c>
      <c r="T1017" s="657">
        <v>5057534</v>
      </c>
      <c r="U1017" s="657">
        <v>461613</v>
      </c>
      <c r="V1017" s="655">
        <v>2021</v>
      </c>
      <c r="W1017" s="659" t="s">
        <v>3675</v>
      </c>
      <c r="X1017" s="660">
        <f t="shared" si="47"/>
        <v>10.956220903657393</v>
      </c>
      <c r="Y1017" s="661" t="str">
        <f t="shared" si="45"/>
        <v/>
      </c>
      <c r="Z1017" s="661" t="str">
        <f t="shared" si="46"/>
        <v/>
      </c>
    </row>
    <row r="1018" spans="1:26" s="128" customFormat="1">
      <c r="A1018" s="655">
        <v>55093</v>
      </c>
      <c r="B1018" s="656" t="s">
        <v>33</v>
      </c>
      <c r="C1018" s="655" t="s">
        <v>2793</v>
      </c>
      <c r="D1018" s="656" t="s">
        <v>1115</v>
      </c>
      <c r="E1018" s="656" t="s">
        <v>1116</v>
      </c>
      <c r="F1018" s="655">
        <v>57226</v>
      </c>
      <c r="G1018" s="656" t="s">
        <v>81</v>
      </c>
      <c r="H1018" s="656" t="s">
        <v>1183</v>
      </c>
      <c r="I1018" s="656" t="s">
        <v>58</v>
      </c>
      <c r="J1018" s="655">
        <v>22</v>
      </c>
      <c r="K1018" s="655">
        <v>2</v>
      </c>
      <c r="L1018" s="656" t="s">
        <v>52</v>
      </c>
      <c r="M1018" s="656" t="s">
        <v>51</v>
      </c>
      <c r="N1018" s="656" t="s">
        <v>63</v>
      </c>
      <c r="O1018" s="656" t="s">
        <v>64</v>
      </c>
      <c r="P1018" s="656" t="s">
        <v>1037</v>
      </c>
      <c r="Q1018" s="657">
        <v>319440</v>
      </c>
      <c r="R1018" s="657">
        <v>319440</v>
      </c>
      <c r="S1018" s="657">
        <v>134164</v>
      </c>
      <c r="T1018" s="657">
        <v>134164</v>
      </c>
      <c r="U1018" s="657">
        <v>12444</v>
      </c>
      <c r="V1018" s="655">
        <v>2021</v>
      </c>
      <c r="W1018" s="659"/>
      <c r="X1018" s="660">
        <f t="shared" si="47"/>
        <v>10.781420765027322</v>
      </c>
      <c r="Y1018" s="661" t="str">
        <f t="shared" si="45"/>
        <v/>
      </c>
      <c r="Z1018" s="661" t="str">
        <f t="shared" si="46"/>
        <v/>
      </c>
    </row>
    <row r="1019" spans="1:26" s="128" customFormat="1" hidden="1">
      <c r="A1019" s="655">
        <v>55100</v>
      </c>
      <c r="B1019" s="656" t="s">
        <v>33</v>
      </c>
      <c r="C1019" s="655" t="s">
        <v>2793</v>
      </c>
      <c r="D1019" s="656" t="s">
        <v>2807</v>
      </c>
      <c r="E1019" s="656" t="s">
        <v>169</v>
      </c>
      <c r="F1019" s="655">
        <v>54821</v>
      </c>
      <c r="G1019" s="656" t="s">
        <v>90</v>
      </c>
      <c r="H1019" s="656" t="s">
        <v>1183</v>
      </c>
      <c r="I1019" s="656" t="s">
        <v>58</v>
      </c>
      <c r="J1019" s="655">
        <v>22</v>
      </c>
      <c r="K1019" s="655">
        <v>2</v>
      </c>
      <c r="L1019" s="656" t="s">
        <v>52</v>
      </c>
      <c r="M1019" s="656" t="s">
        <v>38</v>
      </c>
      <c r="N1019" s="656" t="s">
        <v>39</v>
      </c>
      <c r="O1019" s="656" t="s">
        <v>39</v>
      </c>
      <c r="P1019" s="656" t="s">
        <v>1037</v>
      </c>
      <c r="Q1019" s="657">
        <v>0</v>
      </c>
      <c r="R1019" s="657">
        <v>0</v>
      </c>
      <c r="S1019" s="657">
        <v>0</v>
      </c>
      <c r="T1019" s="657">
        <v>0</v>
      </c>
      <c r="U1019" s="657">
        <v>115865</v>
      </c>
      <c r="V1019" s="655">
        <v>2021</v>
      </c>
      <c r="W1019" s="659" t="s">
        <v>3675</v>
      </c>
      <c r="X1019" s="660" t="str">
        <f t="shared" si="47"/>
        <v/>
      </c>
      <c r="Y1019" s="661" t="str">
        <f t="shared" si="45"/>
        <v/>
      </c>
      <c r="Z1019" s="661" t="str">
        <f t="shared" si="46"/>
        <v/>
      </c>
    </row>
    <row r="1020" spans="1:26" s="128" customFormat="1" hidden="1">
      <c r="A1020" s="655">
        <v>55100</v>
      </c>
      <c r="B1020" s="656" t="s">
        <v>33</v>
      </c>
      <c r="C1020" s="655" t="s">
        <v>2793</v>
      </c>
      <c r="D1020" s="656" t="s">
        <v>2807</v>
      </c>
      <c r="E1020" s="656" t="s">
        <v>169</v>
      </c>
      <c r="F1020" s="655">
        <v>54821</v>
      </c>
      <c r="G1020" s="656" t="s">
        <v>90</v>
      </c>
      <c r="H1020" s="656" t="s">
        <v>1183</v>
      </c>
      <c r="I1020" s="656" t="s">
        <v>58</v>
      </c>
      <c r="J1020" s="655">
        <v>22</v>
      </c>
      <c r="K1020" s="655">
        <v>2</v>
      </c>
      <c r="L1020" s="656" t="s">
        <v>52</v>
      </c>
      <c r="M1020" s="656" t="s">
        <v>41</v>
      </c>
      <c r="N1020" s="656" t="s">
        <v>39</v>
      </c>
      <c r="O1020" s="656" t="s">
        <v>39</v>
      </c>
      <c r="P1020" s="656" t="s">
        <v>1037</v>
      </c>
      <c r="Q1020" s="657">
        <v>2358190</v>
      </c>
      <c r="R1020" s="657">
        <v>2358190</v>
      </c>
      <c r="S1020" s="657">
        <v>2449962</v>
      </c>
      <c r="T1020" s="657">
        <v>2449962</v>
      </c>
      <c r="U1020" s="657">
        <v>208717</v>
      </c>
      <c r="V1020" s="655">
        <v>2021</v>
      </c>
      <c r="W1020" s="659" t="s">
        <v>3675</v>
      </c>
      <c r="X1020" s="660">
        <f t="shared" si="47"/>
        <v>11.738200529904129</v>
      </c>
      <c r="Y1020" s="661" t="str">
        <f t="shared" si="45"/>
        <v/>
      </c>
      <c r="Z1020" s="661" t="str">
        <f t="shared" si="46"/>
        <v/>
      </c>
    </row>
    <row r="1021" spans="1:26" s="128" customFormat="1" ht="25" hidden="1">
      <c r="A1021" s="655">
        <v>55107</v>
      </c>
      <c r="B1021" s="656" t="s">
        <v>33</v>
      </c>
      <c r="C1021" s="655" t="s">
        <v>2793</v>
      </c>
      <c r="D1021" s="656" t="s">
        <v>1812</v>
      </c>
      <c r="E1021" s="656" t="s">
        <v>2321</v>
      </c>
      <c r="F1021" s="655">
        <v>6832</v>
      </c>
      <c r="G1021" s="656" t="s">
        <v>131</v>
      </c>
      <c r="H1021" s="656" t="s">
        <v>1183</v>
      </c>
      <c r="I1021" s="656" t="s">
        <v>58</v>
      </c>
      <c r="J1021" s="655">
        <v>22</v>
      </c>
      <c r="K1021" s="655">
        <v>2</v>
      </c>
      <c r="L1021" s="656" t="s">
        <v>52</v>
      </c>
      <c r="M1021" s="656" t="s">
        <v>38</v>
      </c>
      <c r="N1021" s="656" t="s">
        <v>39</v>
      </c>
      <c r="O1021" s="656" t="s">
        <v>39</v>
      </c>
      <c r="P1021" s="656" t="s">
        <v>1037</v>
      </c>
      <c r="Q1021" s="657">
        <v>471960</v>
      </c>
      <c r="R1021" s="657">
        <v>471960</v>
      </c>
      <c r="S1021" s="657">
        <v>486180</v>
      </c>
      <c r="T1021" s="657">
        <v>486180</v>
      </c>
      <c r="U1021" s="657">
        <v>1304896</v>
      </c>
      <c r="V1021" s="655">
        <v>2021</v>
      </c>
      <c r="W1021" s="659" t="s">
        <v>3675</v>
      </c>
      <c r="X1021" s="660">
        <f t="shared" si="47"/>
        <v>0.37258141645004661</v>
      </c>
      <c r="Y1021" s="661" t="str">
        <f t="shared" si="45"/>
        <v/>
      </c>
      <c r="Z1021" s="661" t="str">
        <f t="shared" si="46"/>
        <v/>
      </c>
    </row>
    <row r="1022" spans="1:26" s="128" customFormat="1" ht="25" hidden="1">
      <c r="A1022" s="655">
        <v>55107</v>
      </c>
      <c r="B1022" s="656" t="s">
        <v>33</v>
      </c>
      <c r="C1022" s="655" t="s">
        <v>2793</v>
      </c>
      <c r="D1022" s="656" t="s">
        <v>1812</v>
      </c>
      <c r="E1022" s="656" t="s">
        <v>2321</v>
      </c>
      <c r="F1022" s="655">
        <v>6832</v>
      </c>
      <c r="G1022" s="656" t="s">
        <v>131</v>
      </c>
      <c r="H1022" s="656" t="s">
        <v>1183</v>
      </c>
      <c r="I1022" s="656" t="s">
        <v>58</v>
      </c>
      <c r="J1022" s="655">
        <v>22</v>
      </c>
      <c r="K1022" s="655">
        <v>2</v>
      </c>
      <c r="L1022" s="656" t="s">
        <v>52</v>
      </c>
      <c r="M1022" s="656" t="s">
        <v>41</v>
      </c>
      <c r="N1022" s="656" t="s">
        <v>39</v>
      </c>
      <c r="O1022" s="656" t="s">
        <v>39</v>
      </c>
      <c r="P1022" s="656" t="s">
        <v>1037</v>
      </c>
      <c r="Q1022" s="657">
        <v>24615987</v>
      </c>
      <c r="R1022" s="657">
        <v>24615987</v>
      </c>
      <c r="S1022" s="657">
        <v>25358273</v>
      </c>
      <c r="T1022" s="657">
        <v>25358273</v>
      </c>
      <c r="U1022" s="657">
        <v>2306732</v>
      </c>
      <c r="V1022" s="655">
        <v>2021</v>
      </c>
      <c r="W1022" s="659" t="s">
        <v>3675</v>
      </c>
      <c r="X1022" s="660">
        <f t="shared" si="47"/>
        <v>10.993159586809391</v>
      </c>
      <c r="Y1022" s="661" t="str">
        <f t="shared" si="45"/>
        <v/>
      </c>
      <c r="Z1022" s="661" t="str">
        <f t="shared" si="46"/>
        <v/>
      </c>
    </row>
    <row r="1023" spans="1:26" s="128" customFormat="1" hidden="1">
      <c r="A1023" s="655">
        <v>55126</v>
      </c>
      <c r="B1023" s="656" t="s">
        <v>33</v>
      </c>
      <c r="C1023" s="655" t="s">
        <v>2793</v>
      </c>
      <c r="D1023" s="656" t="s">
        <v>170</v>
      </c>
      <c r="E1023" s="656" t="s">
        <v>171</v>
      </c>
      <c r="F1023" s="655">
        <v>12568</v>
      </c>
      <c r="G1023" s="656" t="s">
        <v>41</v>
      </c>
      <c r="H1023" s="656" t="s">
        <v>1183</v>
      </c>
      <c r="I1023" s="656" t="s">
        <v>58</v>
      </c>
      <c r="J1023" s="655">
        <v>22</v>
      </c>
      <c r="K1023" s="655">
        <v>2</v>
      </c>
      <c r="L1023" s="656" t="s">
        <v>52</v>
      </c>
      <c r="M1023" s="656" t="s">
        <v>62</v>
      </c>
      <c r="N1023" s="656" t="s">
        <v>39</v>
      </c>
      <c r="O1023" s="656" t="s">
        <v>39</v>
      </c>
      <c r="P1023" s="656" t="s">
        <v>1037</v>
      </c>
      <c r="Q1023" s="657">
        <v>23698988</v>
      </c>
      <c r="R1023" s="657">
        <v>23698988</v>
      </c>
      <c r="S1023" s="657">
        <v>24451157</v>
      </c>
      <c r="T1023" s="657">
        <v>24451157</v>
      </c>
      <c r="U1023" s="657">
        <v>3317637</v>
      </c>
      <c r="V1023" s="655">
        <v>2021</v>
      </c>
      <c r="W1023" s="659" t="s">
        <v>3675</v>
      </c>
      <c r="X1023" s="660">
        <f t="shared" si="47"/>
        <v>7.3700519375688174</v>
      </c>
      <c r="Y1023" s="661" t="str">
        <f t="shared" si="45"/>
        <v/>
      </c>
      <c r="Z1023" s="661" t="str">
        <f t="shared" si="46"/>
        <v/>
      </c>
    </row>
    <row r="1024" spans="1:26" s="128" customFormat="1" hidden="1">
      <c r="A1024" s="655">
        <v>55126</v>
      </c>
      <c r="B1024" s="656" t="s">
        <v>33</v>
      </c>
      <c r="C1024" s="655" t="s">
        <v>2793</v>
      </c>
      <c r="D1024" s="656" t="s">
        <v>170</v>
      </c>
      <c r="E1024" s="656" t="s">
        <v>171</v>
      </c>
      <c r="F1024" s="655">
        <v>12568</v>
      </c>
      <c r="G1024" s="656" t="s">
        <v>41</v>
      </c>
      <c r="H1024" s="656" t="s">
        <v>1183</v>
      </c>
      <c r="I1024" s="656" t="s">
        <v>58</v>
      </c>
      <c r="J1024" s="655">
        <v>22</v>
      </c>
      <c r="K1024" s="655">
        <v>2</v>
      </c>
      <c r="L1024" s="656" t="s">
        <v>52</v>
      </c>
      <c r="M1024" s="656" t="s">
        <v>62</v>
      </c>
      <c r="N1024" s="656" t="s">
        <v>426</v>
      </c>
      <c r="O1024" s="656" t="s">
        <v>67</v>
      </c>
      <c r="P1024" s="656" t="s">
        <v>1037</v>
      </c>
      <c r="Q1024" s="657">
        <v>0</v>
      </c>
      <c r="R1024" s="657">
        <v>0</v>
      </c>
      <c r="S1024" s="657">
        <v>0</v>
      </c>
      <c r="T1024" s="657">
        <v>0</v>
      </c>
      <c r="U1024" s="657">
        <v>0</v>
      </c>
      <c r="V1024" s="655">
        <v>2021</v>
      </c>
      <c r="W1024" s="659" t="s">
        <v>3675</v>
      </c>
      <c r="X1024" s="660" t="str">
        <f t="shared" si="47"/>
        <v/>
      </c>
      <c r="Y1024" s="661" t="str">
        <f t="shared" si="45"/>
        <v/>
      </c>
      <c r="Z1024" s="661" t="str">
        <f t="shared" si="46"/>
        <v/>
      </c>
    </row>
    <row r="1025" spans="1:26" s="128" customFormat="1" ht="25" hidden="1">
      <c r="A1025" s="655">
        <v>55149</v>
      </c>
      <c r="B1025" s="656" t="s">
        <v>33</v>
      </c>
      <c r="C1025" s="655" t="s">
        <v>2793</v>
      </c>
      <c r="D1025" s="656" t="s">
        <v>172</v>
      </c>
      <c r="E1025" s="656" t="s">
        <v>173</v>
      </c>
      <c r="F1025" s="655">
        <v>10576</v>
      </c>
      <c r="G1025" s="656" t="s">
        <v>41</v>
      </c>
      <c r="H1025" s="656" t="s">
        <v>1183</v>
      </c>
      <c r="I1025" s="656" t="s">
        <v>58</v>
      </c>
      <c r="J1025" s="655">
        <v>22</v>
      </c>
      <c r="K1025" s="655">
        <v>2</v>
      </c>
      <c r="L1025" s="656" t="s">
        <v>52</v>
      </c>
      <c r="M1025" s="656" t="s">
        <v>62</v>
      </c>
      <c r="N1025" s="656" t="s">
        <v>39</v>
      </c>
      <c r="O1025" s="656" t="s">
        <v>39</v>
      </c>
      <c r="P1025" s="656" t="s">
        <v>1037</v>
      </c>
      <c r="Q1025" s="657">
        <v>39790509</v>
      </c>
      <c r="R1025" s="657">
        <v>39790509</v>
      </c>
      <c r="S1025" s="657">
        <v>40910235</v>
      </c>
      <c r="T1025" s="657">
        <v>40910235</v>
      </c>
      <c r="U1025" s="657">
        <v>5542122</v>
      </c>
      <c r="V1025" s="655">
        <v>2021</v>
      </c>
      <c r="W1025" s="659" t="s">
        <v>3675</v>
      </c>
      <c r="X1025" s="660">
        <f t="shared" si="47"/>
        <v>7.38169152537602</v>
      </c>
      <c r="Y1025" s="661" t="str">
        <f t="shared" si="45"/>
        <v/>
      </c>
      <c r="Z1025" s="661" t="str">
        <f t="shared" si="46"/>
        <v/>
      </c>
    </row>
    <row r="1026" spans="1:26" s="128" customFormat="1" ht="25" hidden="1">
      <c r="A1026" s="655">
        <v>55149</v>
      </c>
      <c r="B1026" s="656" t="s">
        <v>33</v>
      </c>
      <c r="C1026" s="655" t="s">
        <v>2793</v>
      </c>
      <c r="D1026" s="656" t="s">
        <v>172</v>
      </c>
      <c r="E1026" s="656" t="s">
        <v>173</v>
      </c>
      <c r="F1026" s="655">
        <v>10576</v>
      </c>
      <c r="G1026" s="656" t="s">
        <v>41</v>
      </c>
      <c r="H1026" s="656" t="s">
        <v>1183</v>
      </c>
      <c r="I1026" s="656" t="s">
        <v>58</v>
      </c>
      <c r="J1026" s="655">
        <v>22</v>
      </c>
      <c r="K1026" s="655">
        <v>2</v>
      </c>
      <c r="L1026" s="656" t="s">
        <v>52</v>
      </c>
      <c r="M1026" s="656" t="s">
        <v>62</v>
      </c>
      <c r="N1026" s="656" t="s">
        <v>426</v>
      </c>
      <c r="O1026" s="656" t="s">
        <v>67</v>
      </c>
      <c r="P1026" s="656" t="s">
        <v>1037</v>
      </c>
      <c r="Q1026" s="657">
        <v>0</v>
      </c>
      <c r="R1026" s="657">
        <v>0</v>
      </c>
      <c r="S1026" s="657">
        <v>0</v>
      </c>
      <c r="T1026" s="657">
        <v>0</v>
      </c>
      <c r="U1026" s="657">
        <v>0</v>
      </c>
      <c r="V1026" s="655">
        <v>2021</v>
      </c>
      <c r="W1026" s="659" t="s">
        <v>3675</v>
      </c>
      <c r="X1026" s="660" t="str">
        <f t="shared" si="47"/>
        <v/>
      </c>
      <c r="Y1026" s="661" t="str">
        <f t="shared" si="45"/>
        <v/>
      </c>
      <c r="Z1026" s="661" t="str">
        <f t="shared" si="46"/>
        <v/>
      </c>
    </row>
    <row r="1027" spans="1:26" s="128" customFormat="1" hidden="1">
      <c r="A1027" s="655">
        <v>55155</v>
      </c>
      <c r="B1027" s="656" t="s">
        <v>33</v>
      </c>
      <c r="C1027" s="655" t="s">
        <v>2793</v>
      </c>
      <c r="D1027" s="656" t="s">
        <v>1117</v>
      </c>
      <c r="E1027" s="656" t="s">
        <v>1118</v>
      </c>
      <c r="F1027" s="655">
        <v>57229</v>
      </c>
      <c r="G1027" s="656" t="s">
        <v>57</v>
      </c>
      <c r="H1027" s="656" t="s">
        <v>1182</v>
      </c>
      <c r="I1027" s="656" t="s">
        <v>58</v>
      </c>
      <c r="J1027" s="655">
        <v>22</v>
      </c>
      <c r="K1027" s="655">
        <v>2</v>
      </c>
      <c r="L1027" s="656" t="s">
        <v>52</v>
      </c>
      <c r="M1027" s="656" t="s">
        <v>51</v>
      </c>
      <c r="N1027" s="656" t="s">
        <v>63</v>
      </c>
      <c r="O1027" s="656" t="s">
        <v>64</v>
      </c>
      <c r="P1027" s="656" t="s">
        <v>1037</v>
      </c>
      <c r="Q1027" s="657">
        <v>0</v>
      </c>
      <c r="R1027" s="657">
        <v>0</v>
      </c>
      <c r="S1027" s="657">
        <v>0</v>
      </c>
      <c r="T1027" s="657">
        <v>0</v>
      </c>
      <c r="U1027" s="657">
        <v>0</v>
      </c>
      <c r="V1027" s="655">
        <v>2021</v>
      </c>
      <c r="W1027" s="659"/>
      <c r="X1027" s="660" t="str">
        <f t="shared" si="47"/>
        <v/>
      </c>
      <c r="Y1027" s="661" t="str">
        <f t="shared" si="45"/>
        <v/>
      </c>
      <c r="Z1027" s="661" t="str">
        <f t="shared" si="46"/>
        <v/>
      </c>
    </row>
    <row r="1028" spans="1:26" s="128" customFormat="1" hidden="1">
      <c r="A1028" s="655">
        <v>55170</v>
      </c>
      <c r="B1028" s="656" t="s">
        <v>33</v>
      </c>
      <c r="C1028" s="655" t="s">
        <v>2793</v>
      </c>
      <c r="D1028" s="656" t="s">
        <v>174</v>
      </c>
      <c r="E1028" s="656" t="s">
        <v>175</v>
      </c>
      <c r="F1028" s="655">
        <v>88</v>
      </c>
      <c r="G1028" s="656" t="s">
        <v>96</v>
      </c>
      <c r="H1028" s="656" t="s">
        <v>1183</v>
      </c>
      <c r="I1028" s="656" t="s">
        <v>58</v>
      </c>
      <c r="J1028" s="655">
        <v>22</v>
      </c>
      <c r="K1028" s="655">
        <v>2</v>
      </c>
      <c r="L1028" s="656" t="s">
        <v>52</v>
      </c>
      <c r="M1028" s="656" t="s">
        <v>38</v>
      </c>
      <c r="N1028" s="656" t="s">
        <v>39</v>
      </c>
      <c r="O1028" s="656" t="s">
        <v>39</v>
      </c>
      <c r="P1028" s="656" t="s">
        <v>1037</v>
      </c>
      <c r="Q1028" s="657">
        <v>0</v>
      </c>
      <c r="R1028" s="657">
        <v>0</v>
      </c>
      <c r="S1028" s="657">
        <v>0</v>
      </c>
      <c r="T1028" s="657">
        <v>0</v>
      </c>
      <c r="U1028" s="657">
        <v>1124379</v>
      </c>
      <c r="V1028" s="655">
        <v>2021</v>
      </c>
      <c r="W1028" s="659" t="s">
        <v>3675</v>
      </c>
      <c r="X1028" s="660" t="str">
        <f t="shared" si="47"/>
        <v/>
      </c>
      <c r="Y1028" s="661" t="str">
        <f t="shared" si="45"/>
        <v/>
      </c>
      <c r="Z1028" s="661" t="str">
        <f t="shared" si="46"/>
        <v/>
      </c>
    </row>
    <row r="1029" spans="1:26" s="128" customFormat="1" hidden="1">
      <c r="A1029" s="655">
        <v>55170</v>
      </c>
      <c r="B1029" s="656" t="s">
        <v>33</v>
      </c>
      <c r="C1029" s="655" t="s">
        <v>2793</v>
      </c>
      <c r="D1029" s="656" t="s">
        <v>174</v>
      </c>
      <c r="E1029" s="656" t="s">
        <v>175</v>
      </c>
      <c r="F1029" s="655">
        <v>88</v>
      </c>
      <c r="G1029" s="656" t="s">
        <v>96</v>
      </c>
      <c r="H1029" s="656" t="s">
        <v>1183</v>
      </c>
      <c r="I1029" s="656" t="s">
        <v>58</v>
      </c>
      <c r="J1029" s="655">
        <v>22</v>
      </c>
      <c r="K1029" s="655">
        <v>2</v>
      </c>
      <c r="L1029" s="656" t="s">
        <v>52</v>
      </c>
      <c r="M1029" s="656" t="s">
        <v>41</v>
      </c>
      <c r="N1029" s="656" t="s">
        <v>39</v>
      </c>
      <c r="O1029" s="656" t="s">
        <v>39</v>
      </c>
      <c r="P1029" s="656" t="s">
        <v>1037</v>
      </c>
      <c r="Q1029" s="657">
        <v>23054946</v>
      </c>
      <c r="R1029" s="657">
        <v>23054946</v>
      </c>
      <c r="S1029" s="657">
        <v>23766984</v>
      </c>
      <c r="T1029" s="657">
        <v>23766984</v>
      </c>
      <c r="U1029" s="657">
        <v>2068829</v>
      </c>
      <c r="V1029" s="655">
        <v>2021</v>
      </c>
      <c r="W1029" s="659" t="s">
        <v>3675</v>
      </c>
      <c r="X1029" s="660">
        <f t="shared" si="47"/>
        <v>11.488133625350379</v>
      </c>
      <c r="Y1029" s="661" t="str">
        <f t="shared" si="45"/>
        <v/>
      </c>
      <c r="Z1029" s="661" t="str">
        <f t="shared" si="46"/>
        <v/>
      </c>
    </row>
    <row r="1030" spans="1:26" s="128" customFormat="1" ht="25">
      <c r="A1030" s="655">
        <v>55211</v>
      </c>
      <c r="B1030" s="656" t="s">
        <v>33</v>
      </c>
      <c r="C1030" s="655" t="s">
        <v>2793</v>
      </c>
      <c r="D1030" s="656" t="s">
        <v>176</v>
      </c>
      <c r="E1030" s="656" t="s">
        <v>994</v>
      </c>
      <c r="F1030" s="655">
        <v>641</v>
      </c>
      <c r="G1030" s="656" t="s">
        <v>81</v>
      </c>
      <c r="H1030" s="656" t="s">
        <v>1183</v>
      </c>
      <c r="I1030" s="656" t="s">
        <v>58</v>
      </c>
      <c r="J1030" s="655">
        <v>22</v>
      </c>
      <c r="K1030" s="655">
        <v>2</v>
      </c>
      <c r="L1030" s="656" t="s">
        <v>52</v>
      </c>
      <c r="M1030" s="656" t="s">
        <v>62</v>
      </c>
      <c r="N1030" s="656" t="s">
        <v>39</v>
      </c>
      <c r="O1030" s="656" t="s">
        <v>39</v>
      </c>
      <c r="P1030" s="656" t="s">
        <v>1037</v>
      </c>
      <c r="Q1030" s="657">
        <v>18640569</v>
      </c>
      <c r="R1030" s="657">
        <v>18640569</v>
      </c>
      <c r="S1030" s="657">
        <v>19181177</v>
      </c>
      <c r="T1030" s="657">
        <v>19181177</v>
      </c>
      <c r="U1030" s="657">
        <v>2466446</v>
      </c>
      <c r="V1030" s="655">
        <v>2021</v>
      </c>
      <c r="W1030" s="659" t="s">
        <v>3675</v>
      </c>
      <c r="X1030" s="660">
        <f t="shared" si="47"/>
        <v>7.7768485505054645</v>
      </c>
      <c r="Y1030" s="661" t="str">
        <f t="shared" si="45"/>
        <v/>
      </c>
      <c r="Z1030" s="661" t="str">
        <f t="shared" si="46"/>
        <v/>
      </c>
    </row>
    <row r="1031" spans="1:26" s="128" customFormat="1" ht="25">
      <c r="A1031" s="655">
        <v>55212</v>
      </c>
      <c r="B1031" s="656" t="s">
        <v>33</v>
      </c>
      <c r="C1031" s="655" t="s">
        <v>2793</v>
      </c>
      <c r="D1031" s="656" t="s">
        <v>177</v>
      </c>
      <c r="E1031" s="656" t="s">
        <v>995</v>
      </c>
      <c r="F1031" s="655">
        <v>656</v>
      </c>
      <c r="G1031" s="656" t="s">
        <v>81</v>
      </c>
      <c r="H1031" s="656" t="s">
        <v>1183</v>
      </c>
      <c r="I1031" s="656" t="s">
        <v>58</v>
      </c>
      <c r="J1031" s="655">
        <v>22</v>
      </c>
      <c r="K1031" s="655">
        <v>2</v>
      </c>
      <c r="L1031" s="656" t="s">
        <v>52</v>
      </c>
      <c r="M1031" s="656" t="s">
        <v>62</v>
      </c>
      <c r="N1031" s="656" t="s">
        <v>39</v>
      </c>
      <c r="O1031" s="656" t="s">
        <v>39</v>
      </c>
      <c r="P1031" s="656" t="s">
        <v>1037</v>
      </c>
      <c r="Q1031" s="657">
        <v>17179241</v>
      </c>
      <c r="R1031" s="657">
        <v>17179241</v>
      </c>
      <c r="S1031" s="657">
        <v>17694617</v>
      </c>
      <c r="T1031" s="657">
        <v>17694617</v>
      </c>
      <c r="U1031" s="657">
        <v>2303286</v>
      </c>
      <c r="V1031" s="655">
        <v>2021</v>
      </c>
      <c r="W1031" s="659" t="s">
        <v>3675</v>
      </c>
      <c r="X1031" s="660">
        <f t="shared" si="47"/>
        <v>7.6823360190614629</v>
      </c>
      <c r="Y1031" s="661" t="str">
        <f t="shared" ref="Y1031:Y1094" si="48">IF(AND($M1031=$Y$2,$N1031=$Y$3,NOT($Q1031=$R1031),NOT($U1031=0)),IF($K1031=5,$S1031/($U1031+(8/5)*$U1031),IF($K1031=7,$S1031/($U1031+(29/25)*$U1031),"")),"")</f>
        <v/>
      </c>
      <c r="Z1031" s="661" t="str">
        <f t="shared" ref="Z1031:Z1094" si="49">IF(AND($M1031=$Y$2,$N1031=$Y$4,NOT($Q1031=$R1031),NOT($U1031=0)),IF($K1031=5,$S1031/($U1031+(8/5)*$U1031),IF($K1031=7,$S1031/($U1031+(29/25)*$U1031),"")),"")</f>
        <v/>
      </c>
    </row>
    <row r="1032" spans="1:26" s="128" customFormat="1" ht="25" hidden="1">
      <c r="A1032" s="655">
        <v>55243</v>
      </c>
      <c r="B1032" s="656" t="s">
        <v>33</v>
      </c>
      <c r="C1032" s="655" t="s">
        <v>2793</v>
      </c>
      <c r="D1032" s="656" t="s">
        <v>178</v>
      </c>
      <c r="E1032" s="656" t="s">
        <v>179</v>
      </c>
      <c r="F1032" s="655">
        <v>13582</v>
      </c>
      <c r="G1032" s="656" t="s">
        <v>57</v>
      </c>
      <c r="H1032" s="656" t="s">
        <v>1182</v>
      </c>
      <c r="I1032" s="656" t="s">
        <v>58</v>
      </c>
      <c r="J1032" s="655">
        <v>22</v>
      </c>
      <c r="K1032" s="655">
        <v>2</v>
      </c>
      <c r="L1032" s="656" t="s">
        <v>52</v>
      </c>
      <c r="M1032" s="656" t="s">
        <v>50</v>
      </c>
      <c r="N1032" s="656" t="s">
        <v>76</v>
      </c>
      <c r="O1032" s="656" t="s">
        <v>67</v>
      </c>
      <c r="P1032" s="656" t="s">
        <v>47</v>
      </c>
      <c r="Q1032" s="657">
        <v>3508</v>
      </c>
      <c r="R1032" s="657">
        <v>3508</v>
      </c>
      <c r="S1032" s="657">
        <v>19643</v>
      </c>
      <c r="T1032" s="657">
        <v>19643</v>
      </c>
      <c r="U1032" s="657">
        <v>1341.13</v>
      </c>
      <c r="V1032" s="655">
        <v>2021</v>
      </c>
      <c r="W1032" s="659" t="s">
        <v>3675</v>
      </c>
      <c r="X1032" s="660">
        <f t="shared" ref="X1032:X1095" si="50">IF(OR(K1032&gt;3,T1032=0,NOT(U1032&gt;0)),"",T1032/U1032)</f>
        <v>14.646603983208189</v>
      </c>
      <c r="Y1032" s="661" t="str">
        <f t="shared" si="48"/>
        <v/>
      </c>
      <c r="Z1032" s="661" t="str">
        <f t="shared" si="49"/>
        <v/>
      </c>
    </row>
    <row r="1033" spans="1:26" s="128" customFormat="1" ht="25" hidden="1">
      <c r="A1033" s="655">
        <v>55243</v>
      </c>
      <c r="B1033" s="656" t="s">
        <v>33</v>
      </c>
      <c r="C1033" s="655" t="s">
        <v>2793</v>
      </c>
      <c r="D1033" s="656" t="s">
        <v>178</v>
      </c>
      <c r="E1033" s="656" t="s">
        <v>179</v>
      </c>
      <c r="F1033" s="655">
        <v>13582</v>
      </c>
      <c r="G1033" s="656" t="s">
        <v>57</v>
      </c>
      <c r="H1033" s="656" t="s">
        <v>1182</v>
      </c>
      <c r="I1033" s="656" t="s">
        <v>58</v>
      </c>
      <c r="J1033" s="655">
        <v>22</v>
      </c>
      <c r="K1033" s="655">
        <v>2</v>
      </c>
      <c r="L1033" s="656" t="s">
        <v>52</v>
      </c>
      <c r="M1033" s="656" t="s">
        <v>50</v>
      </c>
      <c r="N1033" s="656" t="s">
        <v>39</v>
      </c>
      <c r="O1033" s="656" t="s">
        <v>39</v>
      </c>
      <c r="P1033" s="656" t="s">
        <v>1037</v>
      </c>
      <c r="Q1033" s="657">
        <v>512719</v>
      </c>
      <c r="R1033" s="657">
        <v>512719</v>
      </c>
      <c r="S1033" s="657">
        <v>528101</v>
      </c>
      <c r="T1033" s="657">
        <v>528101</v>
      </c>
      <c r="U1033" s="657">
        <v>36052.870000000003</v>
      </c>
      <c r="V1033" s="655">
        <v>2021</v>
      </c>
      <c r="W1033" s="659" t="s">
        <v>3675</v>
      </c>
      <c r="X1033" s="660">
        <f t="shared" si="50"/>
        <v>14.647960065315187</v>
      </c>
      <c r="Y1033" s="661" t="str">
        <f t="shared" si="48"/>
        <v/>
      </c>
      <c r="Z1033" s="661" t="str">
        <f t="shared" si="49"/>
        <v/>
      </c>
    </row>
    <row r="1034" spans="1:26" s="128" customFormat="1" ht="25" hidden="1">
      <c r="A1034" s="655">
        <v>55288</v>
      </c>
      <c r="B1034" s="656" t="s">
        <v>33</v>
      </c>
      <c r="C1034" s="655" t="s">
        <v>2793</v>
      </c>
      <c r="D1034" s="656" t="s">
        <v>1199</v>
      </c>
      <c r="E1034" s="656" t="s">
        <v>1567</v>
      </c>
      <c r="F1034" s="655">
        <v>59178</v>
      </c>
      <c r="G1034" s="656" t="s">
        <v>90</v>
      </c>
      <c r="H1034" s="656" t="s">
        <v>1183</v>
      </c>
      <c r="I1034" s="656" t="s">
        <v>58</v>
      </c>
      <c r="J1034" s="655">
        <v>22</v>
      </c>
      <c r="K1034" s="655">
        <v>2</v>
      </c>
      <c r="L1034" s="656" t="s">
        <v>52</v>
      </c>
      <c r="M1034" s="656" t="s">
        <v>35</v>
      </c>
      <c r="N1034" s="656" t="s">
        <v>36</v>
      </c>
      <c r="O1034" s="656" t="s">
        <v>37</v>
      </c>
      <c r="P1034" s="656" t="s">
        <v>1176</v>
      </c>
      <c r="Q1034" s="657">
        <v>0</v>
      </c>
      <c r="R1034" s="657">
        <v>0</v>
      </c>
      <c r="S1034" s="657">
        <v>220137</v>
      </c>
      <c r="T1034" s="657">
        <v>220137</v>
      </c>
      <c r="U1034" s="657">
        <v>24894</v>
      </c>
      <c r="V1034" s="655">
        <v>2021</v>
      </c>
      <c r="W1034" s="659"/>
      <c r="X1034" s="660">
        <f t="shared" si="50"/>
        <v>8.8429742106531695</v>
      </c>
      <c r="Y1034" s="661" t="str">
        <f t="shared" si="48"/>
        <v/>
      </c>
      <c r="Z1034" s="661" t="str">
        <f t="shared" si="49"/>
        <v/>
      </c>
    </row>
    <row r="1035" spans="1:26" s="128" customFormat="1" ht="25" hidden="1">
      <c r="A1035" s="655">
        <v>55294</v>
      </c>
      <c r="B1035" s="656" t="s">
        <v>33</v>
      </c>
      <c r="C1035" s="655" t="s">
        <v>2793</v>
      </c>
      <c r="D1035" s="656" t="s">
        <v>1119</v>
      </c>
      <c r="E1035" s="656" t="s">
        <v>180</v>
      </c>
      <c r="F1035" s="655">
        <v>2891</v>
      </c>
      <c r="G1035" s="656" t="s">
        <v>90</v>
      </c>
      <c r="H1035" s="656" t="s">
        <v>1183</v>
      </c>
      <c r="I1035" s="656" t="s">
        <v>58</v>
      </c>
      <c r="J1035" s="655">
        <v>22</v>
      </c>
      <c r="K1035" s="655">
        <v>2</v>
      </c>
      <c r="L1035" s="656" t="s">
        <v>52</v>
      </c>
      <c r="M1035" s="656" t="s">
        <v>38</v>
      </c>
      <c r="N1035" s="656" t="s">
        <v>39</v>
      </c>
      <c r="O1035" s="656" t="s">
        <v>39</v>
      </c>
      <c r="P1035" s="656" t="s">
        <v>1037</v>
      </c>
      <c r="Q1035" s="657">
        <v>0</v>
      </c>
      <c r="R1035" s="657">
        <v>0</v>
      </c>
      <c r="S1035" s="657">
        <v>0</v>
      </c>
      <c r="T1035" s="657">
        <v>0</v>
      </c>
      <c r="U1035" s="657">
        <v>668050</v>
      </c>
      <c r="V1035" s="655">
        <v>2021</v>
      </c>
      <c r="W1035" s="659" t="s">
        <v>3675</v>
      </c>
      <c r="X1035" s="660" t="str">
        <f t="shared" si="50"/>
        <v/>
      </c>
      <c r="Y1035" s="661" t="str">
        <f t="shared" si="48"/>
        <v/>
      </c>
      <c r="Z1035" s="661" t="str">
        <f t="shared" si="49"/>
        <v/>
      </c>
    </row>
    <row r="1036" spans="1:26" s="128" customFormat="1" ht="25" hidden="1">
      <c r="A1036" s="655">
        <v>55294</v>
      </c>
      <c r="B1036" s="656" t="s">
        <v>33</v>
      </c>
      <c r="C1036" s="655" t="s">
        <v>2793</v>
      </c>
      <c r="D1036" s="656" t="s">
        <v>1119</v>
      </c>
      <c r="E1036" s="656" t="s">
        <v>180</v>
      </c>
      <c r="F1036" s="655">
        <v>2891</v>
      </c>
      <c r="G1036" s="656" t="s">
        <v>90</v>
      </c>
      <c r="H1036" s="656" t="s">
        <v>1183</v>
      </c>
      <c r="I1036" s="656" t="s">
        <v>58</v>
      </c>
      <c r="J1036" s="655">
        <v>22</v>
      </c>
      <c r="K1036" s="655">
        <v>2</v>
      </c>
      <c r="L1036" s="656" t="s">
        <v>52</v>
      </c>
      <c r="M1036" s="656" t="s">
        <v>41</v>
      </c>
      <c r="N1036" s="656" t="s">
        <v>39</v>
      </c>
      <c r="O1036" s="656" t="s">
        <v>39</v>
      </c>
      <c r="P1036" s="656" t="s">
        <v>1037</v>
      </c>
      <c r="Q1036" s="657">
        <v>13003341</v>
      </c>
      <c r="R1036" s="657">
        <v>13003341</v>
      </c>
      <c r="S1036" s="657">
        <v>13543397</v>
      </c>
      <c r="T1036" s="657">
        <v>13543397</v>
      </c>
      <c r="U1036" s="657">
        <v>1208270</v>
      </c>
      <c r="V1036" s="655">
        <v>2021</v>
      </c>
      <c r="W1036" s="659" t="s">
        <v>3675</v>
      </c>
      <c r="X1036" s="660">
        <f t="shared" si="50"/>
        <v>11.208916053531082</v>
      </c>
      <c r="Y1036" s="661" t="str">
        <f t="shared" si="48"/>
        <v/>
      </c>
      <c r="Z1036" s="661" t="str">
        <f t="shared" si="49"/>
        <v/>
      </c>
    </row>
    <row r="1037" spans="1:26" s="128" customFormat="1" ht="25">
      <c r="A1037" s="655">
        <v>55317</v>
      </c>
      <c r="B1037" s="656" t="s">
        <v>33</v>
      </c>
      <c r="C1037" s="655" t="s">
        <v>2793</v>
      </c>
      <c r="D1037" s="656" t="s">
        <v>181</v>
      </c>
      <c r="E1037" s="656" t="s">
        <v>1600</v>
      </c>
      <c r="F1037" s="655">
        <v>59368</v>
      </c>
      <c r="G1037" s="656" t="s">
        <v>81</v>
      </c>
      <c r="H1037" s="656" t="s">
        <v>1183</v>
      </c>
      <c r="I1037" s="656" t="s">
        <v>58</v>
      </c>
      <c r="J1037" s="655">
        <v>22</v>
      </c>
      <c r="K1037" s="655">
        <v>2</v>
      </c>
      <c r="L1037" s="656" t="s">
        <v>52</v>
      </c>
      <c r="M1037" s="656" t="s">
        <v>38</v>
      </c>
      <c r="N1037" s="656" t="s">
        <v>46</v>
      </c>
      <c r="O1037" s="656" t="s">
        <v>46</v>
      </c>
      <c r="P1037" s="656" t="s">
        <v>47</v>
      </c>
      <c r="Q1037" s="657">
        <v>0</v>
      </c>
      <c r="R1037" s="657">
        <v>0</v>
      </c>
      <c r="S1037" s="657">
        <v>0</v>
      </c>
      <c r="T1037" s="657">
        <v>0</v>
      </c>
      <c r="U1037" s="657">
        <v>2768.4140000000002</v>
      </c>
      <c r="V1037" s="655">
        <v>2021</v>
      </c>
      <c r="W1037" s="659" t="s">
        <v>3675</v>
      </c>
      <c r="X1037" s="660" t="str">
        <f t="shared" si="50"/>
        <v/>
      </c>
      <c r="Y1037" s="661" t="str">
        <f t="shared" si="48"/>
        <v/>
      </c>
      <c r="Z1037" s="661" t="str">
        <f t="shared" si="49"/>
        <v/>
      </c>
    </row>
    <row r="1038" spans="1:26" s="128" customFormat="1" ht="25">
      <c r="A1038" s="655">
        <v>55317</v>
      </c>
      <c r="B1038" s="656" t="s">
        <v>33</v>
      </c>
      <c r="C1038" s="655" t="s">
        <v>2793</v>
      </c>
      <c r="D1038" s="656" t="s">
        <v>181</v>
      </c>
      <c r="E1038" s="656" t="s">
        <v>1600</v>
      </c>
      <c r="F1038" s="655">
        <v>59368</v>
      </c>
      <c r="G1038" s="656" t="s">
        <v>81</v>
      </c>
      <c r="H1038" s="656" t="s">
        <v>1183</v>
      </c>
      <c r="I1038" s="656" t="s">
        <v>58</v>
      </c>
      <c r="J1038" s="655">
        <v>22</v>
      </c>
      <c r="K1038" s="655">
        <v>2</v>
      </c>
      <c r="L1038" s="656" t="s">
        <v>52</v>
      </c>
      <c r="M1038" s="656" t="s">
        <v>38</v>
      </c>
      <c r="N1038" s="656" t="s">
        <v>39</v>
      </c>
      <c r="O1038" s="656" t="s">
        <v>39</v>
      </c>
      <c r="P1038" s="656" t="s">
        <v>1037</v>
      </c>
      <c r="Q1038" s="657">
        <v>152517</v>
      </c>
      <c r="R1038" s="657">
        <v>152517</v>
      </c>
      <c r="S1038" s="657">
        <v>156920</v>
      </c>
      <c r="T1038" s="657">
        <v>156920</v>
      </c>
      <c r="U1038" s="657">
        <v>1141731.6000000001</v>
      </c>
      <c r="V1038" s="655">
        <v>2021</v>
      </c>
      <c r="W1038" s="659" t="s">
        <v>3675</v>
      </c>
      <c r="X1038" s="660">
        <f t="shared" si="50"/>
        <v>0.13744035813671093</v>
      </c>
      <c r="Y1038" s="661" t="str">
        <f t="shared" si="48"/>
        <v/>
      </c>
      <c r="Z1038" s="661" t="str">
        <f t="shared" si="49"/>
        <v/>
      </c>
    </row>
    <row r="1039" spans="1:26" s="128" customFormat="1" ht="25">
      <c r="A1039" s="655">
        <v>55317</v>
      </c>
      <c r="B1039" s="656" t="s">
        <v>33</v>
      </c>
      <c r="C1039" s="655" t="s">
        <v>2793</v>
      </c>
      <c r="D1039" s="656" t="s">
        <v>181</v>
      </c>
      <c r="E1039" s="656" t="s">
        <v>1600</v>
      </c>
      <c r="F1039" s="655">
        <v>59368</v>
      </c>
      <c r="G1039" s="656" t="s">
        <v>81</v>
      </c>
      <c r="H1039" s="656" t="s">
        <v>1183</v>
      </c>
      <c r="I1039" s="656" t="s">
        <v>58</v>
      </c>
      <c r="J1039" s="655">
        <v>22</v>
      </c>
      <c r="K1039" s="655">
        <v>2</v>
      </c>
      <c r="L1039" s="656" t="s">
        <v>52</v>
      </c>
      <c r="M1039" s="656" t="s">
        <v>41</v>
      </c>
      <c r="N1039" s="656" t="s">
        <v>46</v>
      </c>
      <c r="O1039" s="656" t="s">
        <v>46</v>
      </c>
      <c r="P1039" s="656" t="s">
        <v>47</v>
      </c>
      <c r="Q1039" s="657">
        <v>11485</v>
      </c>
      <c r="R1039" s="657">
        <v>11485</v>
      </c>
      <c r="S1039" s="657">
        <v>66613</v>
      </c>
      <c r="T1039" s="657">
        <v>66613</v>
      </c>
      <c r="U1039" s="657">
        <v>6092.0050000000001</v>
      </c>
      <c r="V1039" s="655">
        <v>2021</v>
      </c>
      <c r="W1039" s="659" t="s">
        <v>3675</v>
      </c>
      <c r="X1039" s="660">
        <f t="shared" si="50"/>
        <v>10.93449529342146</v>
      </c>
      <c r="Y1039" s="661" t="str">
        <f t="shared" si="48"/>
        <v/>
      </c>
      <c r="Z1039" s="661" t="str">
        <f t="shared" si="49"/>
        <v/>
      </c>
    </row>
    <row r="1040" spans="1:26" s="128" customFormat="1" ht="25">
      <c r="A1040" s="655">
        <v>55317</v>
      </c>
      <c r="B1040" s="656" t="s">
        <v>33</v>
      </c>
      <c r="C1040" s="655" t="s">
        <v>2793</v>
      </c>
      <c r="D1040" s="656" t="s">
        <v>181</v>
      </c>
      <c r="E1040" s="656" t="s">
        <v>1600</v>
      </c>
      <c r="F1040" s="655">
        <v>59368</v>
      </c>
      <c r="G1040" s="656" t="s">
        <v>81</v>
      </c>
      <c r="H1040" s="656" t="s">
        <v>1183</v>
      </c>
      <c r="I1040" s="656" t="s">
        <v>58</v>
      </c>
      <c r="J1040" s="655">
        <v>22</v>
      </c>
      <c r="K1040" s="655">
        <v>2</v>
      </c>
      <c r="L1040" s="656" t="s">
        <v>52</v>
      </c>
      <c r="M1040" s="656" t="s">
        <v>41</v>
      </c>
      <c r="N1040" s="656" t="s">
        <v>39</v>
      </c>
      <c r="O1040" s="656" t="s">
        <v>39</v>
      </c>
      <c r="P1040" s="656" t="s">
        <v>1037</v>
      </c>
      <c r="Q1040" s="657">
        <v>25298938</v>
      </c>
      <c r="R1040" s="657">
        <v>25298938</v>
      </c>
      <c r="S1040" s="657">
        <v>26027481</v>
      </c>
      <c r="T1040" s="657">
        <v>26027481</v>
      </c>
      <c r="U1040" s="657">
        <v>2361320</v>
      </c>
      <c r="V1040" s="655">
        <v>2021</v>
      </c>
      <c r="W1040" s="659" t="s">
        <v>3675</v>
      </c>
      <c r="X1040" s="660">
        <f t="shared" si="50"/>
        <v>11.022428556908848</v>
      </c>
      <c r="Y1040" s="661" t="str">
        <f t="shared" si="48"/>
        <v/>
      </c>
      <c r="Z1040" s="661" t="str">
        <f t="shared" si="49"/>
        <v/>
      </c>
    </row>
    <row r="1041" spans="1:26" s="128" customFormat="1" hidden="1">
      <c r="A1041" s="655">
        <v>55368</v>
      </c>
      <c r="B1041" s="656" t="s">
        <v>33</v>
      </c>
      <c r="C1041" s="655" t="s">
        <v>2793</v>
      </c>
      <c r="D1041" s="656" t="s">
        <v>996</v>
      </c>
      <c r="E1041" s="656" t="s">
        <v>807</v>
      </c>
      <c r="F1041" s="655">
        <v>34688</v>
      </c>
      <c r="G1041" s="656" t="s">
        <v>57</v>
      </c>
      <c r="H1041" s="656" t="s">
        <v>1182</v>
      </c>
      <c r="I1041" s="656" t="s">
        <v>58</v>
      </c>
      <c r="J1041" s="655">
        <v>22</v>
      </c>
      <c r="K1041" s="655">
        <v>2</v>
      </c>
      <c r="L1041" s="656" t="s">
        <v>52</v>
      </c>
      <c r="M1041" s="656" t="s">
        <v>71</v>
      </c>
      <c r="N1041" s="656" t="s">
        <v>72</v>
      </c>
      <c r="O1041" s="656" t="s">
        <v>72</v>
      </c>
      <c r="P1041" s="656" t="s">
        <v>1176</v>
      </c>
      <c r="Q1041" s="657">
        <v>0</v>
      </c>
      <c r="R1041" s="657">
        <v>0</v>
      </c>
      <c r="S1041" s="657">
        <v>14910</v>
      </c>
      <c r="T1041" s="657">
        <v>14910</v>
      </c>
      <c r="U1041" s="657">
        <v>1686</v>
      </c>
      <c r="V1041" s="655">
        <v>2021</v>
      </c>
      <c r="W1041" s="659"/>
      <c r="X1041" s="660">
        <f t="shared" si="50"/>
        <v>8.8434163701067607</v>
      </c>
      <c r="Y1041" s="661" t="str">
        <f t="shared" si="48"/>
        <v/>
      </c>
      <c r="Z1041" s="661" t="str">
        <f t="shared" si="49"/>
        <v/>
      </c>
    </row>
    <row r="1042" spans="1:26" s="128" customFormat="1" hidden="1">
      <c r="A1042" s="655">
        <v>55375</v>
      </c>
      <c r="B1042" s="656" t="s">
        <v>33</v>
      </c>
      <c r="C1042" s="655" t="s">
        <v>2793</v>
      </c>
      <c r="D1042" s="656" t="s">
        <v>182</v>
      </c>
      <c r="E1042" s="656" t="s">
        <v>183</v>
      </c>
      <c r="F1042" s="655">
        <v>22979</v>
      </c>
      <c r="G1042" s="656" t="s">
        <v>57</v>
      </c>
      <c r="H1042" s="656" t="s">
        <v>1182</v>
      </c>
      <c r="I1042" s="656" t="s">
        <v>58</v>
      </c>
      <c r="J1042" s="655">
        <v>22</v>
      </c>
      <c r="K1042" s="655">
        <v>2</v>
      </c>
      <c r="L1042" s="656" t="s">
        <v>52</v>
      </c>
      <c r="M1042" s="656" t="s">
        <v>38</v>
      </c>
      <c r="N1042" s="656" t="s">
        <v>46</v>
      </c>
      <c r="O1042" s="656" t="s">
        <v>46</v>
      </c>
      <c r="P1042" s="656" t="s">
        <v>47</v>
      </c>
      <c r="Q1042" s="657">
        <v>0</v>
      </c>
      <c r="R1042" s="657">
        <v>0</v>
      </c>
      <c r="S1042" s="657">
        <v>0</v>
      </c>
      <c r="T1042" s="657">
        <v>0</v>
      </c>
      <c r="U1042" s="657">
        <v>335.45699999999999</v>
      </c>
      <c r="V1042" s="655">
        <v>2021</v>
      </c>
      <c r="W1042" s="659" t="s">
        <v>3675</v>
      </c>
      <c r="X1042" s="660" t="str">
        <f t="shared" si="50"/>
        <v/>
      </c>
      <c r="Y1042" s="661" t="str">
        <f t="shared" si="48"/>
        <v/>
      </c>
      <c r="Z1042" s="661" t="str">
        <f t="shared" si="49"/>
        <v/>
      </c>
    </row>
    <row r="1043" spans="1:26" s="128" customFormat="1" hidden="1">
      <c r="A1043" s="655">
        <v>55375</v>
      </c>
      <c r="B1043" s="656" t="s">
        <v>33</v>
      </c>
      <c r="C1043" s="655" t="s">
        <v>2793</v>
      </c>
      <c r="D1043" s="656" t="s">
        <v>182</v>
      </c>
      <c r="E1043" s="656" t="s">
        <v>183</v>
      </c>
      <c r="F1043" s="655">
        <v>22979</v>
      </c>
      <c r="G1043" s="656" t="s">
        <v>57</v>
      </c>
      <c r="H1043" s="656" t="s">
        <v>1182</v>
      </c>
      <c r="I1043" s="656" t="s">
        <v>58</v>
      </c>
      <c r="J1043" s="655">
        <v>22</v>
      </c>
      <c r="K1043" s="655">
        <v>2</v>
      </c>
      <c r="L1043" s="656" t="s">
        <v>52</v>
      </c>
      <c r="M1043" s="656" t="s">
        <v>38</v>
      </c>
      <c r="N1043" s="656" t="s">
        <v>39</v>
      </c>
      <c r="O1043" s="656" t="s">
        <v>39</v>
      </c>
      <c r="P1043" s="656" t="s">
        <v>1037</v>
      </c>
      <c r="Q1043" s="657">
        <v>733048</v>
      </c>
      <c r="R1043" s="657">
        <v>733048</v>
      </c>
      <c r="S1043" s="657">
        <v>755352</v>
      </c>
      <c r="T1043" s="657">
        <v>755352</v>
      </c>
      <c r="U1043" s="657">
        <v>1161026.5</v>
      </c>
      <c r="V1043" s="655">
        <v>2021</v>
      </c>
      <c r="W1043" s="659" t="s">
        <v>3675</v>
      </c>
      <c r="X1043" s="660">
        <f t="shared" si="50"/>
        <v>0.65058980135250999</v>
      </c>
      <c r="Y1043" s="661" t="str">
        <f t="shared" si="48"/>
        <v/>
      </c>
      <c r="Z1043" s="661" t="str">
        <f t="shared" si="49"/>
        <v/>
      </c>
    </row>
    <row r="1044" spans="1:26" s="128" customFormat="1" hidden="1">
      <c r="A1044" s="655">
        <v>55375</v>
      </c>
      <c r="B1044" s="656" t="s">
        <v>33</v>
      </c>
      <c r="C1044" s="655" t="s">
        <v>2793</v>
      </c>
      <c r="D1044" s="656" t="s">
        <v>182</v>
      </c>
      <c r="E1044" s="656" t="s">
        <v>183</v>
      </c>
      <c r="F1044" s="655">
        <v>22979</v>
      </c>
      <c r="G1044" s="656" t="s">
        <v>57</v>
      </c>
      <c r="H1044" s="656" t="s">
        <v>1182</v>
      </c>
      <c r="I1044" s="656" t="s">
        <v>58</v>
      </c>
      <c r="J1044" s="655">
        <v>22</v>
      </c>
      <c r="K1044" s="655">
        <v>2</v>
      </c>
      <c r="L1044" s="656" t="s">
        <v>52</v>
      </c>
      <c r="M1044" s="656" t="s">
        <v>41</v>
      </c>
      <c r="N1044" s="656" t="s">
        <v>46</v>
      </c>
      <c r="O1044" s="656" t="s">
        <v>46</v>
      </c>
      <c r="P1044" s="656" t="s">
        <v>47</v>
      </c>
      <c r="Q1044" s="657">
        <v>1177</v>
      </c>
      <c r="R1044" s="657">
        <v>1177</v>
      </c>
      <c r="S1044" s="657">
        <v>6824</v>
      </c>
      <c r="T1044" s="657">
        <v>6824</v>
      </c>
      <c r="U1044" s="657">
        <v>514.05200000000002</v>
      </c>
      <c r="V1044" s="655">
        <v>2021</v>
      </c>
      <c r="W1044" s="659" t="s">
        <v>3675</v>
      </c>
      <c r="X1044" s="660">
        <f t="shared" si="50"/>
        <v>13.274921603261927</v>
      </c>
      <c r="Y1044" s="661" t="str">
        <f t="shared" si="48"/>
        <v/>
      </c>
      <c r="Z1044" s="661" t="str">
        <f t="shared" si="49"/>
        <v/>
      </c>
    </row>
    <row r="1045" spans="1:26" s="128" customFormat="1" hidden="1">
      <c r="A1045" s="655">
        <v>55375</v>
      </c>
      <c r="B1045" s="656" t="s">
        <v>33</v>
      </c>
      <c r="C1045" s="655" t="s">
        <v>2793</v>
      </c>
      <c r="D1045" s="656" t="s">
        <v>182</v>
      </c>
      <c r="E1045" s="656" t="s">
        <v>183</v>
      </c>
      <c r="F1045" s="655">
        <v>22979</v>
      </c>
      <c r="G1045" s="656" t="s">
        <v>57</v>
      </c>
      <c r="H1045" s="656" t="s">
        <v>1182</v>
      </c>
      <c r="I1045" s="656" t="s">
        <v>58</v>
      </c>
      <c r="J1045" s="655">
        <v>22</v>
      </c>
      <c r="K1045" s="655">
        <v>2</v>
      </c>
      <c r="L1045" s="656" t="s">
        <v>52</v>
      </c>
      <c r="M1045" s="656" t="s">
        <v>41</v>
      </c>
      <c r="N1045" s="656" t="s">
        <v>39</v>
      </c>
      <c r="O1045" s="656" t="s">
        <v>39</v>
      </c>
      <c r="P1045" s="656" t="s">
        <v>1037</v>
      </c>
      <c r="Q1045" s="657">
        <v>20937495</v>
      </c>
      <c r="R1045" s="657">
        <v>20937495</v>
      </c>
      <c r="S1045" s="657">
        <v>21575023</v>
      </c>
      <c r="T1045" s="657">
        <v>21575023</v>
      </c>
      <c r="U1045" s="657">
        <v>1900539.9</v>
      </c>
      <c r="V1045" s="655">
        <v>2021</v>
      </c>
      <c r="W1045" s="659" t="s">
        <v>3675</v>
      </c>
      <c r="X1045" s="660">
        <f t="shared" si="50"/>
        <v>11.352049488674245</v>
      </c>
      <c r="Y1045" s="661" t="str">
        <f t="shared" si="48"/>
        <v/>
      </c>
      <c r="Z1045" s="661" t="str">
        <f t="shared" si="49"/>
        <v/>
      </c>
    </row>
    <row r="1046" spans="1:26" s="128" customFormat="1" ht="25" hidden="1">
      <c r="A1046" s="655">
        <v>55405</v>
      </c>
      <c r="B1046" s="656" t="s">
        <v>33</v>
      </c>
      <c r="C1046" s="655" t="s">
        <v>2793</v>
      </c>
      <c r="D1046" s="656" t="s">
        <v>93</v>
      </c>
      <c r="E1046" s="656" t="s">
        <v>94</v>
      </c>
      <c r="F1046" s="655">
        <v>32173</v>
      </c>
      <c r="G1046" s="656" t="s">
        <v>57</v>
      </c>
      <c r="H1046" s="656" t="s">
        <v>1182</v>
      </c>
      <c r="I1046" s="656" t="s">
        <v>58</v>
      </c>
      <c r="J1046" s="655">
        <v>22</v>
      </c>
      <c r="K1046" s="655">
        <v>2</v>
      </c>
      <c r="L1046" s="656" t="s">
        <v>52</v>
      </c>
      <c r="M1046" s="656" t="s">
        <v>38</v>
      </c>
      <c r="N1046" s="656" t="s">
        <v>46</v>
      </c>
      <c r="O1046" s="656" t="s">
        <v>46</v>
      </c>
      <c r="P1046" s="656" t="s">
        <v>47</v>
      </c>
      <c r="Q1046" s="657">
        <v>0</v>
      </c>
      <c r="R1046" s="657">
        <v>0</v>
      </c>
      <c r="S1046" s="657">
        <v>0</v>
      </c>
      <c r="T1046" s="657">
        <v>0</v>
      </c>
      <c r="U1046" s="657">
        <v>0</v>
      </c>
      <c r="V1046" s="655">
        <v>2021</v>
      </c>
      <c r="W1046" s="659" t="s">
        <v>3675</v>
      </c>
      <c r="X1046" s="660" t="str">
        <f t="shared" si="50"/>
        <v/>
      </c>
      <c r="Y1046" s="661" t="str">
        <f t="shared" si="48"/>
        <v/>
      </c>
      <c r="Z1046" s="661" t="str">
        <f t="shared" si="49"/>
        <v/>
      </c>
    </row>
    <row r="1047" spans="1:26" s="128" customFormat="1" ht="25" hidden="1">
      <c r="A1047" s="655">
        <v>55405</v>
      </c>
      <c r="B1047" s="656" t="s">
        <v>33</v>
      </c>
      <c r="C1047" s="655" t="s">
        <v>2793</v>
      </c>
      <c r="D1047" s="656" t="s">
        <v>93</v>
      </c>
      <c r="E1047" s="656" t="s">
        <v>94</v>
      </c>
      <c r="F1047" s="655">
        <v>32173</v>
      </c>
      <c r="G1047" s="656" t="s">
        <v>57</v>
      </c>
      <c r="H1047" s="656" t="s">
        <v>1182</v>
      </c>
      <c r="I1047" s="656" t="s">
        <v>58</v>
      </c>
      <c r="J1047" s="655">
        <v>22</v>
      </c>
      <c r="K1047" s="655">
        <v>2</v>
      </c>
      <c r="L1047" s="656" t="s">
        <v>52</v>
      </c>
      <c r="M1047" s="656" t="s">
        <v>38</v>
      </c>
      <c r="N1047" s="656" t="s">
        <v>39</v>
      </c>
      <c r="O1047" s="656" t="s">
        <v>39</v>
      </c>
      <c r="P1047" s="656" t="s">
        <v>1037</v>
      </c>
      <c r="Q1047" s="657">
        <v>0</v>
      </c>
      <c r="R1047" s="657">
        <v>0</v>
      </c>
      <c r="S1047" s="657">
        <v>0</v>
      </c>
      <c r="T1047" s="657">
        <v>0</v>
      </c>
      <c r="U1047" s="657">
        <v>611471</v>
      </c>
      <c r="V1047" s="655">
        <v>2021</v>
      </c>
      <c r="W1047" s="659" t="s">
        <v>3675</v>
      </c>
      <c r="X1047" s="660" t="str">
        <f t="shared" si="50"/>
        <v/>
      </c>
      <c r="Y1047" s="661" t="str">
        <f t="shared" si="48"/>
        <v/>
      </c>
      <c r="Z1047" s="661" t="str">
        <f t="shared" si="49"/>
        <v/>
      </c>
    </row>
    <row r="1048" spans="1:26" s="128" customFormat="1" ht="25" hidden="1">
      <c r="A1048" s="655">
        <v>55405</v>
      </c>
      <c r="B1048" s="656" t="s">
        <v>33</v>
      </c>
      <c r="C1048" s="655" t="s">
        <v>2793</v>
      </c>
      <c r="D1048" s="656" t="s">
        <v>93</v>
      </c>
      <c r="E1048" s="656" t="s">
        <v>94</v>
      </c>
      <c r="F1048" s="655">
        <v>32173</v>
      </c>
      <c r="G1048" s="656" t="s">
        <v>57</v>
      </c>
      <c r="H1048" s="656" t="s">
        <v>1182</v>
      </c>
      <c r="I1048" s="656" t="s">
        <v>58</v>
      </c>
      <c r="J1048" s="655">
        <v>22</v>
      </c>
      <c r="K1048" s="655">
        <v>2</v>
      </c>
      <c r="L1048" s="656" t="s">
        <v>52</v>
      </c>
      <c r="M1048" s="656" t="s">
        <v>41</v>
      </c>
      <c r="N1048" s="656" t="s">
        <v>46</v>
      </c>
      <c r="O1048" s="656" t="s">
        <v>46</v>
      </c>
      <c r="P1048" s="656" t="s">
        <v>47</v>
      </c>
      <c r="Q1048" s="657">
        <v>0</v>
      </c>
      <c r="R1048" s="657">
        <v>0</v>
      </c>
      <c r="S1048" s="657">
        <v>0</v>
      </c>
      <c r="T1048" s="657">
        <v>0</v>
      </c>
      <c r="U1048" s="657">
        <v>0</v>
      </c>
      <c r="V1048" s="655">
        <v>2021</v>
      </c>
      <c r="W1048" s="659" t="s">
        <v>3675</v>
      </c>
      <c r="X1048" s="660" t="str">
        <f t="shared" si="50"/>
        <v/>
      </c>
      <c r="Y1048" s="661" t="str">
        <f t="shared" si="48"/>
        <v/>
      </c>
      <c r="Z1048" s="661" t="str">
        <f t="shared" si="49"/>
        <v/>
      </c>
    </row>
    <row r="1049" spans="1:26" s="128" customFormat="1" ht="25" hidden="1">
      <c r="A1049" s="655">
        <v>55405</v>
      </c>
      <c r="B1049" s="656" t="s">
        <v>33</v>
      </c>
      <c r="C1049" s="655" t="s">
        <v>2793</v>
      </c>
      <c r="D1049" s="656" t="s">
        <v>93</v>
      </c>
      <c r="E1049" s="656" t="s">
        <v>94</v>
      </c>
      <c r="F1049" s="655">
        <v>32173</v>
      </c>
      <c r="G1049" s="656" t="s">
        <v>57</v>
      </c>
      <c r="H1049" s="656" t="s">
        <v>1182</v>
      </c>
      <c r="I1049" s="656" t="s">
        <v>58</v>
      </c>
      <c r="J1049" s="655">
        <v>22</v>
      </c>
      <c r="K1049" s="655">
        <v>2</v>
      </c>
      <c r="L1049" s="656" t="s">
        <v>52</v>
      </c>
      <c r="M1049" s="656" t="s">
        <v>41</v>
      </c>
      <c r="N1049" s="656" t="s">
        <v>39</v>
      </c>
      <c r="O1049" s="656" t="s">
        <v>39</v>
      </c>
      <c r="P1049" s="656" t="s">
        <v>1037</v>
      </c>
      <c r="Q1049" s="657">
        <v>12583728</v>
      </c>
      <c r="R1049" s="657">
        <v>12583728</v>
      </c>
      <c r="S1049" s="657">
        <v>13045925</v>
      </c>
      <c r="T1049" s="657">
        <v>13045925</v>
      </c>
      <c r="U1049" s="657">
        <v>1158957</v>
      </c>
      <c r="V1049" s="655">
        <v>2021</v>
      </c>
      <c r="W1049" s="659" t="s">
        <v>3675</v>
      </c>
      <c r="X1049" s="660">
        <f t="shared" si="50"/>
        <v>11.256608312474061</v>
      </c>
      <c r="Y1049" s="661" t="str">
        <f t="shared" si="48"/>
        <v/>
      </c>
      <c r="Z1049" s="661" t="str">
        <f t="shared" si="49"/>
        <v/>
      </c>
    </row>
    <row r="1050" spans="1:26" s="128" customFormat="1" hidden="1">
      <c r="A1050" s="655">
        <v>55517</v>
      </c>
      <c r="B1050" s="656" t="s">
        <v>33</v>
      </c>
      <c r="C1050" s="655" t="s">
        <v>2793</v>
      </c>
      <c r="D1050" s="656" t="s">
        <v>1120</v>
      </c>
      <c r="E1050" s="656" t="s">
        <v>1062</v>
      </c>
      <c r="F1050" s="655">
        <v>56927</v>
      </c>
      <c r="G1050" s="656" t="s">
        <v>41</v>
      </c>
      <c r="H1050" s="656" t="s">
        <v>1183</v>
      </c>
      <c r="I1050" s="656" t="s">
        <v>58</v>
      </c>
      <c r="J1050" s="655">
        <v>22</v>
      </c>
      <c r="K1050" s="655">
        <v>2</v>
      </c>
      <c r="L1050" s="656" t="s">
        <v>52</v>
      </c>
      <c r="M1050" s="656" t="s">
        <v>50</v>
      </c>
      <c r="N1050" s="656" t="s">
        <v>39</v>
      </c>
      <c r="O1050" s="656" t="s">
        <v>39</v>
      </c>
      <c r="P1050" s="656" t="s">
        <v>1037</v>
      </c>
      <c r="Q1050" s="657">
        <v>1112137</v>
      </c>
      <c r="R1050" s="657">
        <v>1112137</v>
      </c>
      <c r="S1050" s="657">
        <v>1132155</v>
      </c>
      <c r="T1050" s="657">
        <v>1132155</v>
      </c>
      <c r="U1050" s="657">
        <v>112743</v>
      </c>
      <c r="V1050" s="655">
        <v>2021</v>
      </c>
      <c r="W1050" s="659" t="s">
        <v>3675</v>
      </c>
      <c r="X1050" s="660">
        <f t="shared" si="50"/>
        <v>10.041909475532849</v>
      </c>
      <c r="Y1050" s="661" t="str">
        <f t="shared" si="48"/>
        <v/>
      </c>
      <c r="Z1050" s="661" t="str">
        <f t="shared" si="49"/>
        <v/>
      </c>
    </row>
    <row r="1051" spans="1:26" s="128" customFormat="1">
      <c r="A1051" s="655">
        <v>55589</v>
      </c>
      <c r="B1051" s="656" t="s">
        <v>33</v>
      </c>
      <c r="C1051" s="655" t="s">
        <v>2793</v>
      </c>
      <c r="D1051" s="656" t="s">
        <v>1121</v>
      </c>
      <c r="E1051" s="656" t="s">
        <v>997</v>
      </c>
      <c r="F1051" s="655">
        <v>25049</v>
      </c>
      <c r="G1051" s="656" t="s">
        <v>81</v>
      </c>
      <c r="H1051" s="656" t="s">
        <v>1183</v>
      </c>
      <c r="I1051" s="656" t="s">
        <v>58</v>
      </c>
      <c r="J1051" s="655">
        <v>22</v>
      </c>
      <c r="K1051" s="655">
        <v>2</v>
      </c>
      <c r="L1051" s="656" t="s">
        <v>52</v>
      </c>
      <c r="M1051" s="656" t="s">
        <v>50</v>
      </c>
      <c r="N1051" s="656" t="s">
        <v>63</v>
      </c>
      <c r="O1051" s="656" t="s">
        <v>64</v>
      </c>
      <c r="P1051" s="656" t="s">
        <v>1037</v>
      </c>
      <c r="Q1051" s="657">
        <v>675787</v>
      </c>
      <c r="R1051" s="657">
        <v>675787</v>
      </c>
      <c r="S1051" s="657">
        <v>306131</v>
      </c>
      <c r="T1051" s="657">
        <v>306131</v>
      </c>
      <c r="U1051" s="657">
        <v>11094</v>
      </c>
      <c r="V1051" s="655">
        <v>2021</v>
      </c>
      <c r="W1051" s="659"/>
      <c r="X1051" s="660">
        <f t="shared" si="50"/>
        <v>27.59428519920678</v>
      </c>
      <c r="Y1051" s="661" t="str">
        <f t="shared" si="48"/>
        <v/>
      </c>
      <c r="Z1051" s="661" t="str">
        <f t="shared" si="49"/>
        <v/>
      </c>
    </row>
    <row r="1052" spans="1:26" s="128" customFormat="1" ht="25" hidden="1">
      <c r="A1052" s="655">
        <v>55619</v>
      </c>
      <c r="B1052" s="656" t="s">
        <v>33</v>
      </c>
      <c r="C1052" s="655" t="s">
        <v>2793</v>
      </c>
      <c r="D1052" s="656" t="s">
        <v>998</v>
      </c>
      <c r="E1052" s="656" t="s">
        <v>999</v>
      </c>
      <c r="F1052" s="655">
        <v>20238</v>
      </c>
      <c r="G1052" s="656" t="s">
        <v>57</v>
      </c>
      <c r="H1052" s="656" t="s">
        <v>1182</v>
      </c>
      <c r="I1052" s="656" t="s">
        <v>58</v>
      </c>
      <c r="J1052" s="655">
        <v>813</v>
      </c>
      <c r="K1052" s="655">
        <v>4</v>
      </c>
      <c r="L1052" s="656" t="s">
        <v>412</v>
      </c>
      <c r="M1052" s="656" t="s">
        <v>51</v>
      </c>
      <c r="N1052" s="656" t="s">
        <v>46</v>
      </c>
      <c r="O1052" s="656" t="s">
        <v>46</v>
      </c>
      <c r="P1052" s="656" t="s">
        <v>47</v>
      </c>
      <c r="Q1052" s="657">
        <v>7</v>
      </c>
      <c r="R1052" s="657">
        <v>7</v>
      </c>
      <c r="S1052" s="657">
        <v>41</v>
      </c>
      <c r="T1052" s="657">
        <v>41</v>
      </c>
      <c r="U1052" s="657">
        <v>5.27</v>
      </c>
      <c r="V1052" s="655">
        <v>2021</v>
      </c>
      <c r="W1052" s="659"/>
      <c r="X1052" s="660" t="str">
        <f t="shared" si="50"/>
        <v/>
      </c>
      <c r="Y1052" s="661" t="str">
        <f t="shared" si="48"/>
        <v/>
      </c>
      <c r="Z1052" s="661" t="str">
        <f t="shared" si="49"/>
        <v/>
      </c>
    </row>
    <row r="1053" spans="1:26" s="128" customFormat="1" ht="25" hidden="1">
      <c r="A1053" s="655">
        <v>55619</v>
      </c>
      <c r="B1053" s="656" t="s">
        <v>33</v>
      </c>
      <c r="C1053" s="655" t="s">
        <v>2793</v>
      </c>
      <c r="D1053" s="656" t="s">
        <v>998</v>
      </c>
      <c r="E1053" s="656" t="s">
        <v>999</v>
      </c>
      <c r="F1053" s="655">
        <v>20238</v>
      </c>
      <c r="G1053" s="656" t="s">
        <v>57</v>
      </c>
      <c r="H1053" s="656" t="s">
        <v>1182</v>
      </c>
      <c r="I1053" s="656" t="s">
        <v>58</v>
      </c>
      <c r="J1053" s="655">
        <v>813</v>
      </c>
      <c r="K1053" s="655">
        <v>4</v>
      </c>
      <c r="L1053" s="656" t="s">
        <v>412</v>
      </c>
      <c r="M1053" s="656" t="s">
        <v>51</v>
      </c>
      <c r="N1053" s="656" t="s">
        <v>39</v>
      </c>
      <c r="O1053" s="656" t="s">
        <v>39</v>
      </c>
      <c r="P1053" s="656" t="s">
        <v>1037</v>
      </c>
      <c r="Q1053" s="657">
        <v>109</v>
      </c>
      <c r="R1053" s="657">
        <v>109</v>
      </c>
      <c r="S1053" s="657">
        <v>113</v>
      </c>
      <c r="T1053" s="657">
        <v>113</v>
      </c>
      <c r="U1053" s="657">
        <v>14.73</v>
      </c>
      <c r="V1053" s="655">
        <v>2021</v>
      </c>
      <c r="W1053" s="659"/>
      <c r="X1053" s="660" t="str">
        <f t="shared" si="50"/>
        <v/>
      </c>
      <c r="Y1053" s="661" t="str">
        <f t="shared" si="48"/>
        <v/>
      </c>
      <c r="Z1053" s="661" t="str">
        <f t="shared" si="49"/>
        <v/>
      </c>
    </row>
    <row r="1054" spans="1:26" s="128" customFormat="1" ht="25" hidden="1">
      <c r="A1054" s="655">
        <v>55661</v>
      </c>
      <c r="B1054" s="656" t="s">
        <v>33</v>
      </c>
      <c r="C1054" s="655" t="s">
        <v>2793</v>
      </c>
      <c r="D1054" s="656" t="s">
        <v>146</v>
      </c>
      <c r="E1054" s="656" t="s">
        <v>3119</v>
      </c>
      <c r="F1054" s="655">
        <v>13538</v>
      </c>
      <c r="G1054" s="656" t="s">
        <v>96</v>
      </c>
      <c r="H1054" s="656" t="s">
        <v>1183</v>
      </c>
      <c r="I1054" s="656" t="s">
        <v>58</v>
      </c>
      <c r="J1054" s="655">
        <v>22</v>
      </c>
      <c r="K1054" s="655">
        <v>2</v>
      </c>
      <c r="L1054" s="656" t="s">
        <v>52</v>
      </c>
      <c r="M1054" s="656" t="s">
        <v>38</v>
      </c>
      <c r="N1054" s="656" t="s">
        <v>46</v>
      </c>
      <c r="O1054" s="656" t="s">
        <v>46</v>
      </c>
      <c r="P1054" s="656" t="s">
        <v>47</v>
      </c>
      <c r="Q1054" s="657">
        <v>0</v>
      </c>
      <c r="R1054" s="657">
        <v>0</v>
      </c>
      <c r="S1054" s="657">
        <v>0</v>
      </c>
      <c r="T1054" s="657">
        <v>0</v>
      </c>
      <c r="U1054" s="657">
        <v>15222.099</v>
      </c>
      <c r="V1054" s="655">
        <v>2021</v>
      </c>
      <c r="W1054" s="659" t="s">
        <v>3675</v>
      </c>
      <c r="X1054" s="660" t="str">
        <f t="shared" si="50"/>
        <v/>
      </c>
      <c r="Y1054" s="661" t="str">
        <f t="shared" si="48"/>
        <v/>
      </c>
      <c r="Z1054" s="661" t="str">
        <f t="shared" si="49"/>
        <v/>
      </c>
    </row>
    <row r="1055" spans="1:26" s="128" customFormat="1" ht="25" hidden="1">
      <c r="A1055" s="655">
        <v>55661</v>
      </c>
      <c r="B1055" s="656" t="s">
        <v>33</v>
      </c>
      <c r="C1055" s="655" t="s">
        <v>2793</v>
      </c>
      <c r="D1055" s="656" t="s">
        <v>146</v>
      </c>
      <c r="E1055" s="656" t="s">
        <v>3119</v>
      </c>
      <c r="F1055" s="655">
        <v>13538</v>
      </c>
      <c r="G1055" s="656" t="s">
        <v>96</v>
      </c>
      <c r="H1055" s="656" t="s">
        <v>1183</v>
      </c>
      <c r="I1055" s="656" t="s">
        <v>58</v>
      </c>
      <c r="J1055" s="655">
        <v>22</v>
      </c>
      <c r="K1055" s="655">
        <v>2</v>
      </c>
      <c r="L1055" s="656" t="s">
        <v>52</v>
      </c>
      <c r="M1055" s="656" t="s">
        <v>38</v>
      </c>
      <c r="N1055" s="656" t="s">
        <v>39</v>
      </c>
      <c r="O1055" s="656" t="s">
        <v>39</v>
      </c>
      <c r="P1055" s="656" t="s">
        <v>1037</v>
      </c>
      <c r="Q1055" s="657">
        <v>171851</v>
      </c>
      <c r="R1055" s="657">
        <v>171851</v>
      </c>
      <c r="S1055" s="657">
        <v>177580</v>
      </c>
      <c r="T1055" s="657">
        <v>177580</v>
      </c>
      <c r="U1055" s="657">
        <v>438052.9</v>
      </c>
      <c r="V1055" s="655">
        <v>2021</v>
      </c>
      <c r="W1055" s="659" t="s">
        <v>3675</v>
      </c>
      <c r="X1055" s="660">
        <f t="shared" si="50"/>
        <v>0.40538482909255935</v>
      </c>
      <c r="Y1055" s="661" t="str">
        <f t="shared" si="48"/>
        <v/>
      </c>
      <c r="Z1055" s="661" t="str">
        <f t="shared" si="49"/>
        <v/>
      </c>
    </row>
    <row r="1056" spans="1:26" s="128" customFormat="1" ht="25" hidden="1">
      <c r="A1056" s="655">
        <v>55661</v>
      </c>
      <c r="B1056" s="656" t="s">
        <v>33</v>
      </c>
      <c r="C1056" s="655" t="s">
        <v>2793</v>
      </c>
      <c r="D1056" s="656" t="s">
        <v>146</v>
      </c>
      <c r="E1056" s="656" t="s">
        <v>3119</v>
      </c>
      <c r="F1056" s="655">
        <v>13538</v>
      </c>
      <c r="G1056" s="656" t="s">
        <v>96</v>
      </c>
      <c r="H1056" s="656" t="s">
        <v>1183</v>
      </c>
      <c r="I1056" s="656" t="s">
        <v>58</v>
      </c>
      <c r="J1056" s="655">
        <v>22</v>
      </c>
      <c r="K1056" s="655">
        <v>2</v>
      </c>
      <c r="L1056" s="656" t="s">
        <v>52</v>
      </c>
      <c r="M1056" s="656" t="s">
        <v>41</v>
      </c>
      <c r="N1056" s="656" t="s">
        <v>46</v>
      </c>
      <c r="O1056" s="656" t="s">
        <v>46</v>
      </c>
      <c r="P1056" s="656" t="s">
        <v>47</v>
      </c>
      <c r="Q1056" s="657">
        <v>55823</v>
      </c>
      <c r="R1056" s="657">
        <v>55823</v>
      </c>
      <c r="S1056" s="657">
        <v>319011</v>
      </c>
      <c r="T1056" s="657">
        <v>319011</v>
      </c>
      <c r="U1056" s="657">
        <v>26607.548999999999</v>
      </c>
      <c r="V1056" s="655">
        <v>2021</v>
      </c>
      <c r="W1056" s="659" t="s">
        <v>3675</v>
      </c>
      <c r="X1056" s="660">
        <f t="shared" si="50"/>
        <v>11.989492155027133</v>
      </c>
      <c r="Y1056" s="661" t="str">
        <f t="shared" si="48"/>
        <v/>
      </c>
      <c r="Z1056" s="661" t="str">
        <f t="shared" si="49"/>
        <v/>
      </c>
    </row>
    <row r="1057" spans="1:26" s="128" customFormat="1" ht="25" hidden="1">
      <c r="A1057" s="655">
        <v>55661</v>
      </c>
      <c r="B1057" s="656" t="s">
        <v>33</v>
      </c>
      <c r="C1057" s="655" t="s">
        <v>2793</v>
      </c>
      <c r="D1057" s="656" t="s">
        <v>146</v>
      </c>
      <c r="E1057" s="656" t="s">
        <v>3119</v>
      </c>
      <c r="F1057" s="655">
        <v>13538</v>
      </c>
      <c r="G1057" s="656" t="s">
        <v>96</v>
      </c>
      <c r="H1057" s="656" t="s">
        <v>1183</v>
      </c>
      <c r="I1057" s="656" t="s">
        <v>58</v>
      </c>
      <c r="J1057" s="655">
        <v>22</v>
      </c>
      <c r="K1057" s="655">
        <v>2</v>
      </c>
      <c r="L1057" s="656" t="s">
        <v>52</v>
      </c>
      <c r="M1057" s="656" t="s">
        <v>41</v>
      </c>
      <c r="N1057" s="656" t="s">
        <v>39</v>
      </c>
      <c r="O1057" s="656" t="s">
        <v>39</v>
      </c>
      <c r="P1057" s="656" t="s">
        <v>1037</v>
      </c>
      <c r="Q1057" s="657">
        <v>8288684</v>
      </c>
      <c r="R1057" s="657">
        <v>8288684</v>
      </c>
      <c r="S1057" s="657">
        <v>8562774</v>
      </c>
      <c r="T1057" s="657">
        <v>8562774</v>
      </c>
      <c r="U1057" s="657">
        <v>749071.45</v>
      </c>
      <c r="V1057" s="655">
        <v>2021</v>
      </c>
      <c r="W1057" s="659" t="s">
        <v>3675</v>
      </c>
      <c r="X1057" s="660">
        <f t="shared" si="50"/>
        <v>11.431184568574867</v>
      </c>
      <c r="Y1057" s="661" t="str">
        <f t="shared" si="48"/>
        <v/>
      </c>
      <c r="Z1057" s="661" t="str">
        <f t="shared" si="49"/>
        <v/>
      </c>
    </row>
    <row r="1058" spans="1:26" s="128" customFormat="1" ht="25" hidden="1">
      <c r="A1058" s="655">
        <v>55699</v>
      </c>
      <c r="B1058" s="656" t="s">
        <v>33</v>
      </c>
      <c r="C1058" s="655" t="s">
        <v>2793</v>
      </c>
      <c r="D1058" s="656" t="s">
        <v>1000</v>
      </c>
      <c r="E1058" s="656" t="s">
        <v>1000</v>
      </c>
      <c r="F1058" s="655">
        <v>1268</v>
      </c>
      <c r="G1058" s="656" t="s">
        <v>57</v>
      </c>
      <c r="H1058" s="656" t="s">
        <v>1182</v>
      </c>
      <c r="I1058" s="656" t="s">
        <v>58</v>
      </c>
      <c r="J1058" s="655">
        <v>22</v>
      </c>
      <c r="K1058" s="655">
        <v>2</v>
      </c>
      <c r="L1058" s="656" t="s">
        <v>52</v>
      </c>
      <c r="M1058" s="656" t="s">
        <v>50</v>
      </c>
      <c r="N1058" s="656" t="s">
        <v>39</v>
      </c>
      <c r="O1058" s="656" t="s">
        <v>39</v>
      </c>
      <c r="P1058" s="656" t="s">
        <v>1037</v>
      </c>
      <c r="Q1058" s="657">
        <v>925037</v>
      </c>
      <c r="R1058" s="657">
        <v>925037</v>
      </c>
      <c r="S1058" s="657">
        <v>952786</v>
      </c>
      <c r="T1058" s="657">
        <v>952786</v>
      </c>
      <c r="U1058" s="657">
        <v>79341</v>
      </c>
      <c r="V1058" s="655">
        <v>2021</v>
      </c>
      <c r="W1058" s="659" t="s">
        <v>3675</v>
      </c>
      <c r="X1058" s="660">
        <f t="shared" si="50"/>
        <v>12.00874705385614</v>
      </c>
      <c r="Y1058" s="661" t="str">
        <f t="shared" si="48"/>
        <v/>
      </c>
      <c r="Z1058" s="661" t="str">
        <f t="shared" si="49"/>
        <v/>
      </c>
    </row>
    <row r="1059" spans="1:26" s="128" customFormat="1" hidden="1">
      <c r="A1059" s="655">
        <v>55757</v>
      </c>
      <c r="B1059" s="656" t="s">
        <v>33</v>
      </c>
      <c r="C1059" s="655" t="s">
        <v>2793</v>
      </c>
      <c r="D1059" s="656" t="s">
        <v>1001</v>
      </c>
      <c r="E1059" s="656" t="s">
        <v>1002</v>
      </c>
      <c r="F1059" s="655">
        <v>12758</v>
      </c>
      <c r="G1059" s="656" t="s">
        <v>57</v>
      </c>
      <c r="H1059" s="656" t="s">
        <v>1182</v>
      </c>
      <c r="I1059" s="656" t="s">
        <v>58</v>
      </c>
      <c r="J1059" s="655">
        <v>22</v>
      </c>
      <c r="K1059" s="655">
        <v>2</v>
      </c>
      <c r="L1059" s="656" t="s">
        <v>52</v>
      </c>
      <c r="M1059" s="656" t="s">
        <v>51</v>
      </c>
      <c r="N1059" s="656" t="s">
        <v>63</v>
      </c>
      <c r="O1059" s="656" t="s">
        <v>64</v>
      </c>
      <c r="P1059" s="656" t="s">
        <v>1037</v>
      </c>
      <c r="Q1059" s="657">
        <v>955082</v>
      </c>
      <c r="R1059" s="657">
        <v>955082</v>
      </c>
      <c r="S1059" s="657">
        <v>518610</v>
      </c>
      <c r="T1059" s="657">
        <v>518610</v>
      </c>
      <c r="U1059" s="657">
        <v>38402</v>
      </c>
      <c r="V1059" s="655">
        <v>2021</v>
      </c>
      <c r="W1059" s="659"/>
      <c r="X1059" s="660">
        <f t="shared" si="50"/>
        <v>13.504765376803292</v>
      </c>
      <c r="Y1059" s="661" t="str">
        <f t="shared" si="48"/>
        <v/>
      </c>
      <c r="Z1059" s="661" t="str">
        <f t="shared" si="49"/>
        <v/>
      </c>
    </row>
    <row r="1060" spans="1:26" s="128" customFormat="1" hidden="1">
      <c r="A1060" s="655">
        <v>55769</v>
      </c>
      <c r="B1060" s="656" t="s">
        <v>33</v>
      </c>
      <c r="C1060" s="655" t="s">
        <v>2793</v>
      </c>
      <c r="D1060" s="656" t="s">
        <v>1003</v>
      </c>
      <c r="E1060" s="656" t="s">
        <v>1003</v>
      </c>
      <c r="F1060" s="655">
        <v>49880</v>
      </c>
      <c r="G1060" s="656" t="s">
        <v>57</v>
      </c>
      <c r="H1060" s="656" t="s">
        <v>1182</v>
      </c>
      <c r="I1060" s="656" t="s">
        <v>58</v>
      </c>
      <c r="J1060" s="655">
        <v>22</v>
      </c>
      <c r="K1060" s="655">
        <v>2</v>
      </c>
      <c r="L1060" s="656" t="s">
        <v>52</v>
      </c>
      <c r="M1060" s="656" t="s">
        <v>71</v>
      </c>
      <c r="N1060" s="656" t="s">
        <v>72</v>
      </c>
      <c r="O1060" s="656" t="s">
        <v>72</v>
      </c>
      <c r="P1060" s="656" t="s">
        <v>1176</v>
      </c>
      <c r="Q1060" s="657">
        <v>0</v>
      </c>
      <c r="R1060" s="657">
        <v>0</v>
      </c>
      <c r="S1060" s="657">
        <v>88766</v>
      </c>
      <c r="T1060" s="657">
        <v>88766</v>
      </c>
      <c r="U1060" s="657">
        <v>10038</v>
      </c>
      <c r="V1060" s="655">
        <v>2021</v>
      </c>
      <c r="W1060" s="659"/>
      <c r="X1060" s="660">
        <f t="shared" si="50"/>
        <v>8.8429966128710902</v>
      </c>
      <c r="Y1060" s="661" t="str">
        <f t="shared" si="48"/>
        <v/>
      </c>
      <c r="Z1060" s="661" t="str">
        <f t="shared" si="49"/>
        <v/>
      </c>
    </row>
    <row r="1061" spans="1:26" s="128" customFormat="1" hidden="1">
      <c r="A1061" s="655">
        <v>55786</v>
      </c>
      <c r="B1061" s="656" t="s">
        <v>33</v>
      </c>
      <c r="C1061" s="655" t="s">
        <v>2793</v>
      </c>
      <c r="D1061" s="656" t="s">
        <v>1063</v>
      </c>
      <c r="E1061" s="656" t="s">
        <v>1063</v>
      </c>
      <c r="F1061" s="655">
        <v>56852</v>
      </c>
      <c r="G1061" s="656" t="s">
        <v>57</v>
      </c>
      <c r="H1061" s="656" t="s">
        <v>1182</v>
      </c>
      <c r="I1061" s="656" t="s">
        <v>58</v>
      </c>
      <c r="J1061" s="655">
        <v>22</v>
      </c>
      <c r="K1061" s="655">
        <v>2</v>
      </c>
      <c r="L1061" s="656" t="s">
        <v>52</v>
      </c>
      <c r="M1061" s="656" t="s">
        <v>50</v>
      </c>
      <c r="N1061" s="656" t="s">
        <v>39</v>
      </c>
      <c r="O1061" s="656" t="s">
        <v>39</v>
      </c>
      <c r="P1061" s="656" t="s">
        <v>1037</v>
      </c>
      <c r="Q1061" s="657">
        <v>1394984</v>
      </c>
      <c r="R1061" s="657">
        <v>1394984</v>
      </c>
      <c r="S1061" s="657">
        <v>1439623</v>
      </c>
      <c r="T1061" s="657">
        <v>1439623</v>
      </c>
      <c r="U1061" s="657">
        <v>137242</v>
      </c>
      <c r="V1061" s="655">
        <v>2021</v>
      </c>
      <c r="W1061" s="659" t="s">
        <v>3675</v>
      </c>
      <c r="X1061" s="660">
        <f t="shared" si="50"/>
        <v>10.489667885924135</v>
      </c>
      <c r="Y1061" s="661" t="str">
        <f t="shared" si="48"/>
        <v/>
      </c>
      <c r="Z1061" s="661" t="str">
        <f t="shared" si="49"/>
        <v/>
      </c>
    </row>
    <row r="1062" spans="1:26" s="128" customFormat="1" hidden="1">
      <c r="A1062" s="655">
        <v>55787</v>
      </c>
      <c r="B1062" s="656" t="s">
        <v>33</v>
      </c>
      <c r="C1062" s="655" t="s">
        <v>2793</v>
      </c>
      <c r="D1062" s="656" t="s">
        <v>1064</v>
      </c>
      <c r="E1062" s="656" t="s">
        <v>1064</v>
      </c>
      <c r="F1062" s="655">
        <v>56853</v>
      </c>
      <c r="G1062" s="656" t="s">
        <v>57</v>
      </c>
      <c r="H1062" s="656" t="s">
        <v>1182</v>
      </c>
      <c r="I1062" s="656" t="s">
        <v>58</v>
      </c>
      <c r="J1062" s="655">
        <v>22</v>
      </c>
      <c r="K1062" s="655">
        <v>2</v>
      </c>
      <c r="L1062" s="656" t="s">
        <v>52</v>
      </c>
      <c r="M1062" s="656" t="s">
        <v>50</v>
      </c>
      <c r="N1062" s="656" t="s">
        <v>46</v>
      </c>
      <c r="O1062" s="656" t="s">
        <v>46</v>
      </c>
      <c r="P1062" s="656" t="s">
        <v>47</v>
      </c>
      <c r="Q1062" s="657">
        <v>0</v>
      </c>
      <c r="R1062" s="657">
        <v>0</v>
      </c>
      <c r="S1062" s="657">
        <v>0</v>
      </c>
      <c r="T1062" s="657">
        <v>0</v>
      </c>
      <c r="U1062" s="657">
        <v>0</v>
      </c>
      <c r="V1062" s="655">
        <v>2021</v>
      </c>
      <c r="W1062" s="659" t="s">
        <v>3675</v>
      </c>
      <c r="X1062" s="660" t="str">
        <f t="shared" si="50"/>
        <v/>
      </c>
      <c r="Y1062" s="661" t="str">
        <f t="shared" si="48"/>
        <v/>
      </c>
      <c r="Z1062" s="661" t="str">
        <f t="shared" si="49"/>
        <v/>
      </c>
    </row>
    <row r="1063" spans="1:26" s="128" customFormat="1" hidden="1">
      <c r="A1063" s="655">
        <v>55787</v>
      </c>
      <c r="B1063" s="656" t="s">
        <v>33</v>
      </c>
      <c r="C1063" s="655" t="s">
        <v>2793</v>
      </c>
      <c r="D1063" s="656" t="s">
        <v>1064</v>
      </c>
      <c r="E1063" s="656" t="s">
        <v>1064</v>
      </c>
      <c r="F1063" s="655">
        <v>56853</v>
      </c>
      <c r="G1063" s="656" t="s">
        <v>57</v>
      </c>
      <c r="H1063" s="656" t="s">
        <v>1182</v>
      </c>
      <c r="I1063" s="656" t="s">
        <v>58</v>
      </c>
      <c r="J1063" s="655">
        <v>22</v>
      </c>
      <c r="K1063" s="655">
        <v>2</v>
      </c>
      <c r="L1063" s="656" t="s">
        <v>52</v>
      </c>
      <c r="M1063" s="656" t="s">
        <v>50</v>
      </c>
      <c r="N1063" s="656" t="s">
        <v>76</v>
      </c>
      <c r="O1063" s="656" t="s">
        <v>67</v>
      </c>
      <c r="P1063" s="656" t="s">
        <v>47</v>
      </c>
      <c r="Q1063" s="657">
        <v>42673</v>
      </c>
      <c r="R1063" s="657">
        <v>42673</v>
      </c>
      <c r="S1063" s="657">
        <v>239822</v>
      </c>
      <c r="T1063" s="657">
        <v>239822</v>
      </c>
      <c r="U1063" s="657">
        <v>24657.999</v>
      </c>
      <c r="V1063" s="655">
        <v>2021</v>
      </c>
      <c r="W1063" s="659" t="s">
        <v>3675</v>
      </c>
      <c r="X1063" s="660">
        <f t="shared" si="50"/>
        <v>9.7259311268525881</v>
      </c>
      <c r="Y1063" s="661" t="str">
        <f t="shared" si="48"/>
        <v/>
      </c>
      <c r="Z1063" s="661" t="str">
        <f t="shared" si="49"/>
        <v/>
      </c>
    </row>
    <row r="1064" spans="1:26" s="128" customFormat="1" hidden="1">
      <c r="A1064" s="655">
        <v>55790</v>
      </c>
      <c r="B1064" s="656" t="s">
        <v>33</v>
      </c>
      <c r="C1064" s="655" t="s">
        <v>2793</v>
      </c>
      <c r="D1064" s="656" t="s">
        <v>1004</v>
      </c>
      <c r="E1064" s="656" t="s">
        <v>807</v>
      </c>
      <c r="F1064" s="655">
        <v>34688</v>
      </c>
      <c r="G1064" s="656" t="s">
        <v>57</v>
      </c>
      <c r="H1064" s="656" t="s">
        <v>1182</v>
      </c>
      <c r="I1064" s="656" t="s">
        <v>58</v>
      </c>
      <c r="J1064" s="655">
        <v>22</v>
      </c>
      <c r="K1064" s="655">
        <v>2</v>
      </c>
      <c r="L1064" s="656" t="s">
        <v>52</v>
      </c>
      <c r="M1064" s="656" t="s">
        <v>71</v>
      </c>
      <c r="N1064" s="656" t="s">
        <v>72</v>
      </c>
      <c r="O1064" s="656" t="s">
        <v>72</v>
      </c>
      <c r="P1064" s="656" t="s">
        <v>1176</v>
      </c>
      <c r="Q1064" s="657">
        <v>0</v>
      </c>
      <c r="R1064" s="657">
        <v>0</v>
      </c>
      <c r="S1064" s="657">
        <v>648827</v>
      </c>
      <c r="T1064" s="657">
        <v>648827</v>
      </c>
      <c r="U1064" s="657">
        <v>73372</v>
      </c>
      <c r="V1064" s="655">
        <v>2021</v>
      </c>
      <c r="W1064" s="659"/>
      <c r="X1064" s="660">
        <f t="shared" si="50"/>
        <v>8.8429782478329599</v>
      </c>
      <c r="Y1064" s="661" t="str">
        <f t="shared" si="48"/>
        <v/>
      </c>
      <c r="Z1064" s="661" t="str">
        <f t="shared" si="49"/>
        <v/>
      </c>
    </row>
    <row r="1065" spans="1:26" s="128" customFormat="1" hidden="1">
      <c r="A1065" s="655">
        <v>55860</v>
      </c>
      <c r="B1065" s="656" t="s">
        <v>33</v>
      </c>
      <c r="C1065" s="655" t="s">
        <v>2793</v>
      </c>
      <c r="D1065" s="656" t="s">
        <v>1005</v>
      </c>
      <c r="E1065" s="656" t="s">
        <v>1006</v>
      </c>
      <c r="F1065" s="655">
        <v>25771</v>
      </c>
      <c r="G1065" s="656" t="s">
        <v>41</v>
      </c>
      <c r="H1065" s="656" t="s">
        <v>1183</v>
      </c>
      <c r="I1065" s="656" t="s">
        <v>58</v>
      </c>
      <c r="J1065" s="655">
        <v>22</v>
      </c>
      <c r="K1065" s="655">
        <v>2</v>
      </c>
      <c r="L1065" s="656" t="s">
        <v>52</v>
      </c>
      <c r="M1065" s="656" t="s">
        <v>35</v>
      </c>
      <c r="N1065" s="656" t="s">
        <v>36</v>
      </c>
      <c r="O1065" s="656" t="s">
        <v>37</v>
      </c>
      <c r="P1065" s="656" t="s">
        <v>1176</v>
      </c>
      <c r="Q1065" s="657">
        <v>0</v>
      </c>
      <c r="R1065" s="657">
        <v>0</v>
      </c>
      <c r="S1065" s="657">
        <v>91420</v>
      </c>
      <c r="T1065" s="657">
        <v>91420</v>
      </c>
      <c r="U1065" s="657">
        <v>10338</v>
      </c>
      <c r="V1065" s="655">
        <v>2021</v>
      </c>
      <c r="W1065" s="659"/>
      <c r="X1065" s="660">
        <f t="shared" si="50"/>
        <v>8.8431031147223838</v>
      </c>
      <c r="Y1065" s="661" t="str">
        <f t="shared" si="48"/>
        <v/>
      </c>
      <c r="Z1065" s="661" t="str">
        <f t="shared" si="49"/>
        <v/>
      </c>
    </row>
    <row r="1066" spans="1:26" s="128" customFormat="1" ht="25" hidden="1">
      <c r="A1066" s="655">
        <v>55969</v>
      </c>
      <c r="B1066" s="656" t="s">
        <v>33</v>
      </c>
      <c r="C1066" s="655" t="s">
        <v>2793</v>
      </c>
      <c r="D1066" s="656" t="s">
        <v>1007</v>
      </c>
      <c r="E1066" s="656" t="s">
        <v>1007</v>
      </c>
      <c r="F1066" s="655">
        <v>7308</v>
      </c>
      <c r="G1066" s="656" t="s">
        <v>57</v>
      </c>
      <c r="H1066" s="656" t="s">
        <v>1182</v>
      </c>
      <c r="I1066" s="656" t="s">
        <v>58</v>
      </c>
      <c r="J1066" s="655">
        <v>22</v>
      </c>
      <c r="K1066" s="655">
        <v>2</v>
      </c>
      <c r="L1066" s="656" t="s">
        <v>52</v>
      </c>
      <c r="M1066" s="656" t="s">
        <v>50</v>
      </c>
      <c r="N1066" s="656" t="s">
        <v>46</v>
      </c>
      <c r="O1066" s="656" t="s">
        <v>46</v>
      </c>
      <c r="P1066" s="656" t="s">
        <v>47</v>
      </c>
      <c r="Q1066" s="657">
        <v>0</v>
      </c>
      <c r="R1066" s="657">
        <v>0</v>
      </c>
      <c r="S1066" s="657">
        <v>0</v>
      </c>
      <c r="T1066" s="657">
        <v>0</v>
      </c>
      <c r="U1066" s="657">
        <v>0</v>
      </c>
      <c r="V1066" s="655">
        <v>2021</v>
      </c>
      <c r="W1066" s="659" t="s">
        <v>3675</v>
      </c>
      <c r="X1066" s="660" t="str">
        <f t="shared" si="50"/>
        <v/>
      </c>
      <c r="Y1066" s="661" t="str">
        <f t="shared" si="48"/>
        <v/>
      </c>
      <c r="Z1066" s="661" t="str">
        <f t="shared" si="49"/>
        <v/>
      </c>
    </row>
    <row r="1067" spans="1:26" s="128" customFormat="1" ht="25" hidden="1">
      <c r="A1067" s="655">
        <v>55969</v>
      </c>
      <c r="B1067" s="656" t="s">
        <v>33</v>
      </c>
      <c r="C1067" s="655" t="s">
        <v>2793</v>
      </c>
      <c r="D1067" s="656" t="s">
        <v>1007</v>
      </c>
      <c r="E1067" s="656" t="s">
        <v>1007</v>
      </c>
      <c r="F1067" s="655">
        <v>7308</v>
      </c>
      <c r="G1067" s="656" t="s">
        <v>57</v>
      </c>
      <c r="H1067" s="656" t="s">
        <v>1182</v>
      </c>
      <c r="I1067" s="656" t="s">
        <v>58</v>
      </c>
      <c r="J1067" s="655">
        <v>22</v>
      </c>
      <c r="K1067" s="655">
        <v>2</v>
      </c>
      <c r="L1067" s="656" t="s">
        <v>52</v>
      </c>
      <c r="M1067" s="656" t="s">
        <v>50</v>
      </c>
      <c r="N1067" s="656" t="s">
        <v>76</v>
      </c>
      <c r="O1067" s="656" t="s">
        <v>67</v>
      </c>
      <c r="P1067" s="656" t="s">
        <v>47</v>
      </c>
      <c r="Q1067" s="657">
        <v>57829</v>
      </c>
      <c r="R1067" s="657">
        <v>57829</v>
      </c>
      <c r="S1067" s="657">
        <v>329628</v>
      </c>
      <c r="T1067" s="657">
        <v>329628</v>
      </c>
      <c r="U1067" s="657">
        <v>31120</v>
      </c>
      <c r="V1067" s="655">
        <v>2021</v>
      </c>
      <c r="W1067" s="659" t="s">
        <v>3675</v>
      </c>
      <c r="X1067" s="660">
        <f t="shared" si="50"/>
        <v>10.592159383033419</v>
      </c>
      <c r="Y1067" s="661" t="str">
        <f t="shared" si="48"/>
        <v/>
      </c>
      <c r="Z1067" s="661" t="str">
        <f t="shared" si="49"/>
        <v/>
      </c>
    </row>
    <row r="1068" spans="1:26" s="128" customFormat="1" hidden="1">
      <c r="A1068" s="655">
        <v>56032</v>
      </c>
      <c r="B1068" s="656" t="s">
        <v>33</v>
      </c>
      <c r="C1068" s="655" t="s">
        <v>2793</v>
      </c>
      <c r="D1068" s="656" t="s">
        <v>1008</v>
      </c>
      <c r="E1068" s="656" t="s">
        <v>1009</v>
      </c>
      <c r="F1068" s="655">
        <v>49845</v>
      </c>
      <c r="G1068" s="656" t="s">
        <v>57</v>
      </c>
      <c r="H1068" s="656" t="s">
        <v>1182</v>
      </c>
      <c r="I1068" s="656" t="s">
        <v>58</v>
      </c>
      <c r="J1068" s="655">
        <v>22</v>
      </c>
      <c r="K1068" s="655">
        <v>2</v>
      </c>
      <c r="L1068" s="656" t="s">
        <v>52</v>
      </c>
      <c r="M1068" s="656" t="s">
        <v>50</v>
      </c>
      <c r="N1068" s="656" t="s">
        <v>76</v>
      </c>
      <c r="O1068" s="656" t="s">
        <v>67</v>
      </c>
      <c r="P1068" s="656" t="s">
        <v>47</v>
      </c>
      <c r="Q1068" s="657">
        <v>315</v>
      </c>
      <c r="R1068" s="657">
        <v>315</v>
      </c>
      <c r="S1068" s="657">
        <v>1764</v>
      </c>
      <c r="T1068" s="657">
        <v>1764</v>
      </c>
      <c r="U1068" s="657">
        <v>172.2</v>
      </c>
      <c r="V1068" s="655">
        <v>2021</v>
      </c>
      <c r="W1068" s="659" t="s">
        <v>3675</v>
      </c>
      <c r="X1068" s="660">
        <f t="shared" si="50"/>
        <v>10.24390243902439</v>
      </c>
      <c r="Y1068" s="661" t="str">
        <f t="shared" si="48"/>
        <v/>
      </c>
      <c r="Z1068" s="661" t="str">
        <f t="shared" si="49"/>
        <v/>
      </c>
    </row>
    <row r="1069" spans="1:26" s="128" customFormat="1" hidden="1">
      <c r="A1069" s="655">
        <v>56032</v>
      </c>
      <c r="B1069" s="656" t="s">
        <v>33</v>
      </c>
      <c r="C1069" s="655" t="s">
        <v>2793</v>
      </c>
      <c r="D1069" s="656" t="s">
        <v>1008</v>
      </c>
      <c r="E1069" s="656" t="s">
        <v>1009</v>
      </c>
      <c r="F1069" s="655">
        <v>49845</v>
      </c>
      <c r="G1069" s="656" t="s">
        <v>57</v>
      </c>
      <c r="H1069" s="656" t="s">
        <v>1182</v>
      </c>
      <c r="I1069" s="656" t="s">
        <v>58</v>
      </c>
      <c r="J1069" s="655">
        <v>22</v>
      </c>
      <c r="K1069" s="655">
        <v>2</v>
      </c>
      <c r="L1069" s="656" t="s">
        <v>52</v>
      </c>
      <c r="M1069" s="656" t="s">
        <v>50</v>
      </c>
      <c r="N1069" s="656" t="s">
        <v>39</v>
      </c>
      <c r="O1069" s="656" t="s">
        <v>39</v>
      </c>
      <c r="P1069" s="656" t="s">
        <v>1037</v>
      </c>
      <c r="Q1069" s="657">
        <v>780165</v>
      </c>
      <c r="R1069" s="657">
        <v>780165</v>
      </c>
      <c r="S1069" s="657">
        <v>803570</v>
      </c>
      <c r="T1069" s="657">
        <v>803570</v>
      </c>
      <c r="U1069" s="657">
        <v>78443.8</v>
      </c>
      <c r="V1069" s="655">
        <v>2021</v>
      </c>
      <c r="W1069" s="659" t="s">
        <v>3675</v>
      </c>
      <c r="X1069" s="660">
        <f t="shared" si="50"/>
        <v>10.24389435493946</v>
      </c>
      <c r="Y1069" s="661" t="str">
        <f t="shared" si="48"/>
        <v/>
      </c>
      <c r="Z1069" s="661" t="str">
        <f t="shared" si="49"/>
        <v/>
      </c>
    </row>
    <row r="1070" spans="1:26" s="128" customFormat="1" ht="25" hidden="1">
      <c r="A1070" s="655">
        <v>56047</v>
      </c>
      <c r="B1070" s="656" t="s">
        <v>33</v>
      </c>
      <c r="C1070" s="655" t="s">
        <v>2793</v>
      </c>
      <c r="D1070" s="656" t="s">
        <v>2306</v>
      </c>
      <c r="E1070" s="656" t="s">
        <v>2322</v>
      </c>
      <c r="F1070" s="655">
        <v>19002</v>
      </c>
      <c r="G1070" s="656" t="s">
        <v>41</v>
      </c>
      <c r="H1070" s="656" t="s">
        <v>1183</v>
      </c>
      <c r="I1070" s="656" t="s">
        <v>58</v>
      </c>
      <c r="J1070" s="655">
        <v>22</v>
      </c>
      <c r="K1070" s="655">
        <v>2</v>
      </c>
      <c r="L1070" s="656" t="s">
        <v>52</v>
      </c>
      <c r="M1070" s="656" t="s">
        <v>38</v>
      </c>
      <c r="N1070" s="656" t="s">
        <v>46</v>
      </c>
      <c r="O1070" s="656" t="s">
        <v>46</v>
      </c>
      <c r="P1070" s="656" t="s">
        <v>47</v>
      </c>
      <c r="Q1070" s="657">
        <v>0</v>
      </c>
      <c r="R1070" s="657">
        <v>0</v>
      </c>
      <c r="S1070" s="657">
        <v>0</v>
      </c>
      <c r="T1070" s="657">
        <v>0</v>
      </c>
      <c r="U1070" s="657">
        <v>980.88800000000003</v>
      </c>
      <c r="V1070" s="655">
        <v>2021</v>
      </c>
      <c r="W1070" s="659" t="s">
        <v>3675</v>
      </c>
      <c r="X1070" s="660" t="str">
        <f t="shared" si="50"/>
        <v/>
      </c>
      <c r="Y1070" s="661" t="str">
        <f t="shared" si="48"/>
        <v/>
      </c>
      <c r="Z1070" s="661" t="str">
        <f t="shared" si="49"/>
        <v/>
      </c>
    </row>
    <row r="1071" spans="1:26" s="128" customFormat="1" ht="25" hidden="1">
      <c r="A1071" s="655">
        <v>56047</v>
      </c>
      <c r="B1071" s="656" t="s">
        <v>33</v>
      </c>
      <c r="C1071" s="655" t="s">
        <v>2793</v>
      </c>
      <c r="D1071" s="656" t="s">
        <v>2306</v>
      </c>
      <c r="E1071" s="656" t="s">
        <v>2322</v>
      </c>
      <c r="F1071" s="655">
        <v>19002</v>
      </c>
      <c r="G1071" s="656" t="s">
        <v>41</v>
      </c>
      <c r="H1071" s="656" t="s">
        <v>1183</v>
      </c>
      <c r="I1071" s="656" t="s">
        <v>58</v>
      </c>
      <c r="J1071" s="655">
        <v>22</v>
      </c>
      <c r="K1071" s="655">
        <v>2</v>
      </c>
      <c r="L1071" s="656" t="s">
        <v>52</v>
      </c>
      <c r="M1071" s="656" t="s">
        <v>38</v>
      </c>
      <c r="N1071" s="656" t="s">
        <v>39</v>
      </c>
      <c r="O1071" s="656" t="s">
        <v>39</v>
      </c>
      <c r="P1071" s="656" t="s">
        <v>1037</v>
      </c>
      <c r="Q1071" s="657">
        <v>546833</v>
      </c>
      <c r="R1071" s="657">
        <v>546833</v>
      </c>
      <c r="S1071" s="657">
        <v>561166</v>
      </c>
      <c r="T1071" s="657">
        <v>561166</v>
      </c>
      <c r="U1071" s="657">
        <v>1796867.1</v>
      </c>
      <c r="V1071" s="655">
        <v>2021</v>
      </c>
      <c r="W1071" s="659" t="s">
        <v>3675</v>
      </c>
      <c r="X1071" s="660">
        <f t="shared" si="50"/>
        <v>0.31230245130538592</v>
      </c>
      <c r="Y1071" s="661" t="str">
        <f t="shared" si="48"/>
        <v/>
      </c>
      <c r="Z1071" s="661" t="str">
        <f t="shared" si="49"/>
        <v/>
      </c>
    </row>
    <row r="1072" spans="1:26" s="128" customFormat="1" ht="25" hidden="1">
      <c r="A1072" s="655">
        <v>56047</v>
      </c>
      <c r="B1072" s="656" t="s">
        <v>33</v>
      </c>
      <c r="C1072" s="655" t="s">
        <v>2793</v>
      </c>
      <c r="D1072" s="656" t="s">
        <v>2306</v>
      </c>
      <c r="E1072" s="656" t="s">
        <v>2322</v>
      </c>
      <c r="F1072" s="655">
        <v>19002</v>
      </c>
      <c r="G1072" s="656" t="s">
        <v>41</v>
      </c>
      <c r="H1072" s="656" t="s">
        <v>1183</v>
      </c>
      <c r="I1072" s="656" t="s">
        <v>58</v>
      </c>
      <c r="J1072" s="655">
        <v>22</v>
      </c>
      <c r="K1072" s="655">
        <v>2</v>
      </c>
      <c r="L1072" s="656" t="s">
        <v>52</v>
      </c>
      <c r="M1072" s="656" t="s">
        <v>41</v>
      </c>
      <c r="N1072" s="656" t="s">
        <v>46</v>
      </c>
      <c r="O1072" s="656" t="s">
        <v>46</v>
      </c>
      <c r="P1072" s="656" t="s">
        <v>47</v>
      </c>
      <c r="Q1072" s="657">
        <v>3600</v>
      </c>
      <c r="R1072" s="657">
        <v>3600</v>
      </c>
      <c r="S1072" s="657">
        <v>20808</v>
      </c>
      <c r="T1072" s="657">
        <v>20808</v>
      </c>
      <c r="U1072" s="657">
        <v>2154.7179999999998</v>
      </c>
      <c r="V1072" s="655">
        <v>2021</v>
      </c>
      <c r="W1072" s="659" t="s">
        <v>3675</v>
      </c>
      <c r="X1072" s="660">
        <f t="shared" si="50"/>
        <v>9.6569481482031527</v>
      </c>
      <c r="Y1072" s="661" t="str">
        <f t="shared" si="48"/>
        <v/>
      </c>
      <c r="Z1072" s="661" t="str">
        <f t="shared" si="49"/>
        <v/>
      </c>
    </row>
    <row r="1073" spans="1:26" s="128" customFormat="1" ht="25" hidden="1">
      <c r="A1073" s="655">
        <v>56047</v>
      </c>
      <c r="B1073" s="656" t="s">
        <v>33</v>
      </c>
      <c r="C1073" s="655" t="s">
        <v>2793</v>
      </c>
      <c r="D1073" s="656" t="s">
        <v>2306</v>
      </c>
      <c r="E1073" s="656" t="s">
        <v>2322</v>
      </c>
      <c r="F1073" s="655">
        <v>19002</v>
      </c>
      <c r="G1073" s="656" t="s">
        <v>41</v>
      </c>
      <c r="H1073" s="656" t="s">
        <v>1183</v>
      </c>
      <c r="I1073" s="656" t="s">
        <v>58</v>
      </c>
      <c r="J1073" s="655">
        <v>22</v>
      </c>
      <c r="K1073" s="655">
        <v>2</v>
      </c>
      <c r="L1073" s="656" t="s">
        <v>52</v>
      </c>
      <c r="M1073" s="656" t="s">
        <v>41</v>
      </c>
      <c r="N1073" s="656" t="s">
        <v>39</v>
      </c>
      <c r="O1073" s="656" t="s">
        <v>39</v>
      </c>
      <c r="P1073" s="656" t="s">
        <v>1037</v>
      </c>
      <c r="Q1073" s="657">
        <v>35120976</v>
      </c>
      <c r="R1073" s="657">
        <v>35120976</v>
      </c>
      <c r="S1073" s="657">
        <v>36046476</v>
      </c>
      <c r="T1073" s="657">
        <v>36046476</v>
      </c>
      <c r="U1073" s="657">
        <v>3753262.3</v>
      </c>
      <c r="V1073" s="655">
        <v>2021</v>
      </c>
      <c r="W1073" s="659" t="s">
        <v>3675</v>
      </c>
      <c r="X1073" s="660">
        <f t="shared" si="50"/>
        <v>9.6040385986345811</v>
      </c>
      <c r="Y1073" s="661" t="str">
        <f t="shared" si="48"/>
        <v/>
      </c>
      <c r="Z1073" s="661" t="str">
        <f t="shared" si="49"/>
        <v/>
      </c>
    </row>
    <row r="1074" spans="1:26" s="128" customFormat="1" ht="25" hidden="1">
      <c r="A1074" s="655">
        <v>56141</v>
      </c>
      <c r="B1074" s="656" t="s">
        <v>33</v>
      </c>
      <c r="C1074" s="655" t="s">
        <v>2793</v>
      </c>
      <c r="D1074" s="656" t="s">
        <v>1010</v>
      </c>
      <c r="E1074" s="656" t="s">
        <v>1011</v>
      </c>
      <c r="F1074" s="655">
        <v>49786</v>
      </c>
      <c r="G1074" s="656" t="s">
        <v>57</v>
      </c>
      <c r="H1074" s="656" t="s">
        <v>1182</v>
      </c>
      <c r="I1074" s="656" t="s">
        <v>58</v>
      </c>
      <c r="J1074" s="655">
        <v>22</v>
      </c>
      <c r="K1074" s="655">
        <v>2</v>
      </c>
      <c r="L1074" s="656" t="s">
        <v>52</v>
      </c>
      <c r="M1074" s="656" t="s">
        <v>50</v>
      </c>
      <c r="N1074" s="656" t="s">
        <v>76</v>
      </c>
      <c r="O1074" s="656" t="s">
        <v>67</v>
      </c>
      <c r="P1074" s="656" t="s">
        <v>47</v>
      </c>
      <c r="Q1074" s="657">
        <v>4909</v>
      </c>
      <c r="R1074" s="657">
        <v>4909</v>
      </c>
      <c r="S1074" s="657">
        <v>28179</v>
      </c>
      <c r="T1074" s="657">
        <v>28179</v>
      </c>
      <c r="U1074" s="657">
        <v>2619.34</v>
      </c>
      <c r="V1074" s="655">
        <v>2021</v>
      </c>
      <c r="W1074" s="659"/>
      <c r="X1074" s="660">
        <f t="shared" si="50"/>
        <v>10.758053555475806</v>
      </c>
      <c r="Y1074" s="661" t="str">
        <f t="shared" si="48"/>
        <v/>
      </c>
      <c r="Z1074" s="661" t="str">
        <f t="shared" si="49"/>
        <v/>
      </c>
    </row>
    <row r="1075" spans="1:26" s="128" customFormat="1" ht="25" hidden="1">
      <c r="A1075" s="655">
        <v>56141</v>
      </c>
      <c r="B1075" s="656" t="s">
        <v>33</v>
      </c>
      <c r="C1075" s="655" t="s">
        <v>2793</v>
      </c>
      <c r="D1075" s="656" t="s">
        <v>1010</v>
      </c>
      <c r="E1075" s="656" t="s">
        <v>1011</v>
      </c>
      <c r="F1075" s="655">
        <v>49786</v>
      </c>
      <c r="G1075" s="656" t="s">
        <v>57</v>
      </c>
      <c r="H1075" s="656" t="s">
        <v>1182</v>
      </c>
      <c r="I1075" s="656" t="s">
        <v>58</v>
      </c>
      <c r="J1075" s="655">
        <v>22</v>
      </c>
      <c r="K1075" s="655">
        <v>2</v>
      </c>
      <c r="L1075" s="656" t="s">
        <v>52</v>
      </c>
      <c r="M1075" s="656" t="s">
        <v>50</v>
      </c>
      <c r="N1075" s="656" t="s">
        <v>39</v>
      </c>
      <c r="O1075" s="656" t="s">
        <v>39</v>
      </c>
      <c r="P1075" s="656" t="s">
        <v>1037</v>
      </c>
      <c r="Q1075" s="657">
        <v>365262</v>
      </c>
      <c r="R1075" s="657">
        <v>365262</v>
      </c>
      <c r="S1075" s="657">
        <v>376217</v>
      </c>
      <c r="T1075" s="657">
        <v>376217</v>
      </c>
      <c r="U1075" s="657">
        <v>34972.660000000003</v>
      </c>
      <c r="V1075" s="655">
        <v>2021</v>
      </c>
      <c r="W1075" s="659"/>
      <c r="X1075" s="660">
        <f t="shared" si="50"/>
        <v>10.75746025609719</v>
      </c>
      <c r="Y1075" s="661" t="str">
        <f t="shared" si="48"/>
        <v/>
      </c>
      <c r="Z1075" s="661" t="str">
        <f t="shared" si="49"/>
        <v/>
      </c>
    </row>
    <row r="1076" spans="1:26" s="128" customFormat="1" hidden="1">
      <c r="A1076" s="655">
        <v>56188</v>
      </c>
      <c r="B1076" s="656" t="s">
        <v>33</v>
      </c>
      <c r="C1076" s="655" t="s">
        <v>2793</v>
      </c>
      <c r="D1076" s="656" t="s">
        <v>1012</v>
      </c>
      <c r="E1076" s="656" t="s">
        <v>1012</v>
      </c>
      <c r="F1076" s="655">
        <v>49837</v>
      </c>
      <c r="G1076" s="656" t="s">
        <v>57</v>
      </c>
      <c r="H1076" s="656" t="s">
        <v>1182</v>
      </c>
      <c r="I1076" s="656" t="s">
        <v>58</v>
      </c>
      <c r="J1076" s="655">
        <v>22</v>
      </c>
      <c r="K1076" s="655">
        <v>2</v>
      </c>
      <c r="L1076" s="656" t="s">
        <v>52</v>
      </c>
      <c r="M1076" s="656" t="s">
        <v>38</v>
      </c>
      <c r="N1076" s="656" t="s">
        <v>76</v>
      </c>
      <c r="O1076" s="656" t="s">
        <v>67</v>
      </c>
      <c r="P1076" s="656" t="s">
        <v>47</v>
      </c>
      <c r="Q1076" s="657">
        <v>0</v>
      </c>
      <c r="R1076" s="657">
        <v>0</v>
      </c>
      <c r="S1076" s="657">
        <v>0</v>
      </c>
      <c r="T1076" s="657">
        <v>0</v>
      </c>
      <c r="U1076" s="657">
        <v>3.722</v>
      </c>
      <c r="V1076" s="655">
        <v>2021</v>
      </c>
      <c r="W1076" s="659" t="s">
        <v>3675</v>
      </c>
      <c r="X1076" s="660" t="str">
        <f t="shared" si="50"/>
        <v/>
      </c>
      <c r="Y1076" s="661" t="str">
        <f t="shared" si="48"/>
        <v/>
      </c>
      <c r="Z1076" s="661" t="str">
        <f t="shared" si="49"/>
        <v/>
      </c>
    </row>
    <row r="1077" spans="1:26" s="128" customFormat="1" hidden="1">
      <c r="A1077" s="655">
        <v>56188</v>
      </c>
      <c r="B1077" s="656" t="s">
        <v>33</v>
      </c>
      <c r="C1077" s="655" t="s">
        <v>2793</v>
      </c>
      <c r="D1077" s="656" t="s">
        <v>1012</v>
      </c>
      <c r="E1077" s="656" t="s">
        <v>1012</v>
      </c>
      <c r="F1077" s="655">
        <v>49837</v>
      </c>
      <c r="G1077" s="656" t="s">
        <v>57</v>
      </c>
      <c r="H1077" s="656" t="s">
        <v>1182</v>
      </c>
      <c r="I1077" s="656" t="s">
        <v>58</v>
      </c>
      <c r="J1077" s="655">
        <v>22</v>
      </c>
      <c r="K1077" s="655">
        <v>2</v>
      </c>
      <c r="L1077" s="656" t="s">
        <v>52</v>
      </c>
      <c r="M1077" s="656" t="s">
        <v>38</v>
      </c>
      <c r="N1077" s="656" t="s">
        <v>39</v>
      </c>
      <c r="O1077" s="656" t="s">
        <v>39</v>
      </c>
      <c r="P1077" s="656" t="s">
        <v>1037</v>
      </c>
      <c r="Q1077" s="657">
        <v>0</v>
      </c>
      <c r="R1077" s="657">
        <v>0</v>
      </c>
      <c r="S1077" s="657">
        <v>0</v>
      </c>
      <c r="T1077" s="657">
        <v>0</v>
      </c>
      <c r="U1077" s="657">
        <v>27468.277999999998</v>
      </c>
      <c r="V1077" s="655">
        <v>2021</v>
      </c>
      <c r="W1077" s="659" t="s">
        <v>3675</v>
      </c>
      <c r="X1077" s="660" t="str">
        <f t="shared" si="50"/>
        <v/>
      </c>
      <c r="Y1077" s="661" t="str">
        <f t="shared" si="48"/>
        <v/>
      </c>
      <c r="Z1077" s="661" t="str">
        <f t="shared" si="49"/>
        <v/>
      </c>
    </row>
    <row r="1078" spans="1:26" s="128" customFormat="1" hidden="1">
      <c r="A1078" s="655">
        <v>56188</v>
      </c>
      <c r="B1078" s="656" t="s">
        <v>33</v>
      </c>
      <c r="C1078" s="655" t="s">
        <v>2793</v>
      </c>
      <c r="D1078" s="656" t="s">
        <v>1012</v>
      </c>
      <c r="E1078" s="656" t="s">
        <v>1012</v>
      </c>
      <c r="F1078" s="655">
        <v>49837</v>
      </c>
      <c r="G1078" s="656" t="s">
        <v>57</v>
      </c>
      <c r="H1078" s="656" t="s">
        <v>1182</v>
      </c>
      <c r="I1078" s="656" t="s">
        <v>58</v>
      </c>
      <c r="J1078" s="655">
        <v>22</v>
      </c>
      <c r="K1078" s="655">
        <v>2</v>
      </c>
      <c r="L1078" s="656" t="s">
        <v>52</v>
      </c>
      <c r="M1078" s="656" t="s">
        <v>41</v>
      </c>
      <c r="N1078" s="656" t="s">
        <v>76</v>
      </c>
      <c r="O1078" s="656" t="s">
        <v>67</v>
      </c>
      <c r="P1078" s="656" t="s">
        <v>47</v>
      </c>
      <c r="Q1078" s="657">
        <v>29</v>
      </c>
      <c r="R1078" s="657">
        <v>29</v>
      </c>
      <c r="S1078" s="657">
        <v>162</v>
      </c>
      <c r="T1078" s="657">
        <v>162</v>
      </c>
      <c r="U1078" s="657">
        <v>14.398999999999999</v>
      </c>
      <c r="V1078" s="655">
        <v>2021</v>
      </c>
      <c r="W1078" s="659" t="s">
        <v>3675</v>
      </c>
      <c r="X1078" s="660">
        <f t="shared" si="50"/>
        <v>11.250781304257242</v>
      </c>
      <c r="Y1078" s="661" t="str">
        <f t="shared" si="48"/>
        <v/>
      </c>
      <c r="Z1078" s="661" t="str">
        <f t="shared" si="49"/>
        <v/>
      </c>
    </row>
    <row r="1079" spans="1:26" s="128" customFormat="1" hidden="1">
      <c r="A1079" s="655">
        <v>56188</v>
      </c>
      <c r="B1079" s="656" t="s">
        <v>33</v>
      </c>
      <c r="C1079" s="655" t="s">
        <v>2793</v>
      </c>
      <c r="D1079" s="656" t="s">
        <v>1012</v>
      </c>
      <c r="E1079" s="656" t="s">
        <v>1012</v>
      </c>
      <c r="F1079" s="655">
        <v>49837</v>
      </c>
      <c r="G1079" s="656" t="s">
        <v>57</v>
      </c>
      <c r="H1079" s="656" t="s">
        <v>1182</v>
      </c>
      <c r="I1079" s="656" t="s">
        <v>58</v>
      </c>
      <c r="J1079" s="655">
        <v>22</v>
      </c>
      <c r="K1079" s="655">
        <v>2</v>
      </c>
      <c r="L1079" s="656" t="s">
        <v>52</v>
      </c>
      <c r="M1079" s="656" t="s">
        <v>41</v>
      </c>
      <c r="N1079" s="656" t="s">
        <v>39</v>
      </c>
      <c r="O1079" s="656" t="s">
        <v>39</v>
      </c>
      <c r="P1079" s="656" t="s">
        <v>1037</v>
      </c>
      <c r="Q1079" s="657">
        <v>848027</v>
      </c>
      <c r="R1079" s="657">
        <v>848027</v>
      </c>
      <c r="S1079" s="657">
        <v>873468</v>
      </c>
      <c r="T1079" s="657">
        <v>873468</v>
      </c>
      <c r="U1079" s="657">
        <v>73273.600999999995</v>
      </c>
      <c r="V1079" s="655">
        <v>2021</v>
      </c>
      <c r="W1079" s="659" t="s">
        <v>3675</v>
      </c>
      <c r="X1079" s="660">
        <f t="shared" si="50"/>
        <v>11.920637010865619</v>
      </c>
      <c r="Y1079" s="661" t="str">
        <f t="shared" si="48"/>
        <v/>
      </c>
      <c r="Z1079" s="661" t="str">
        <f t="shared" si="49"/>
        <v/>
      </c>
    </row>
    <row r="1080" spans="1:26" s="128" customFormat="1" hidden="1">
      <c r="A1080" s="655">
        <v>56189</v>
      </c>
      <c r="B1080" s="656" t="s">
        <v>33</v>
      </c>
      <c r="C1080" s="655" t="s">
        <v>2793</v>
      </c>
      <c r="D1080" s="656" t="s">
        <v>1013</v>
      </c>
      <c r="E1080" s="656" t="s">
        <v>1013</v>
      </c>
      <c r="F1080" s="655">
        <v>49840</v>
      </c>
      <c r="G1080" s="656" t="s">
        <v>41</v>
      </c>
      <c r="H1080" s="656" t="s">
        <v>1183</v>
      </c>
      <c r="I1080" s="656" t="s">
        <v>58</v>
      </c>
      <c r="J1080" s="655">
        <v>22</v>
      </c>
      <c r="K1080" s="655">
        <v>2</v>
      </c>
      <c r="L1080" s="656" t="s">
        <v>52</v>
      </c>
      <c r="M1080" s="656" t="s">
        <v>50</v>
      </c>
      <c r="N1080" s="656" t="s">
        <v>46</v>
      </c>
      <c r="O1080" s="656" t="s">
        <v>46</v>
      </c>
      <c r="P1080" s="656" t="s">
        <v>47</v>
      </c>
      <c r="Q1080" s="657">
        <v>3022</v>
      </c>
      <c r="R1080" s="657">
        <v>3022</v>
      </c>
      <c r="S1080" s="657">
        <v>17481</v>
      </c>
      <c r="T1080" s="657">
        <v>17481</v>
      </c>
      <c r="U1080" s="657">
        <v>1487</v>
      </c>
      <c r="V1080" s="655">
        <v>2021</v>
      </c>
      <c r="W1080" s="659"/>
      <c r="X1080" s="660">
        <f t="shared" si="50"/>
        <v>11.755884330867518</v>
      </c>
      <c r="Y1080" s="661" t="str">
        <f t="shared" si="48"/>
        <v/>
      </c>
      <c r="Z1080" s="661" t="str">
        <f t="shared" si="49"/>
        <v/>
      </c>
    </row>
    <row r="1081" spans="1:26" s="128" customFormat="1" hidden="1">
      <c r="A1081" s="655">
        <v>56196</v>
      </c>
      <c r="B1081" s="656" t="s">
        <v>33</v>
      </c>
      <c r="C1081" s="655" t="s">
        <v>2793</v>
      </c>
      <c r="D1081" s="656" t="s">
        <v>184</v>
      </c>
      <c r="E1081" s="656" t="s">
        <v>56</v>
      </c>
      <c r="F1081" s="655">
        <v>15296</v>
      </c>
      <c r="G1081" s="656" t="s">
        <v>57</v>
      </c>
      <c r="H1081" s="656" t="s">
        <v>1182</v>
      </c>
      <c r="I1081" s="656" t="s">
        <v>58</v>
      </c>
      <c r="J1081" s="655">
        <v>22</v>
      </c>
      <c r="K1081" s="655">
        <v>1</v>
      </c>
      <c r="L1081" s="656" t="s">
        <v>34</v>
      </c>
      <c r="M1081" s="656" t="s">
        <v>38</v>
      </c>
      <c r="N1081" s="656" t="s">
        <v>46</v>
      </c>
      <c r="O1081" s="656" t="s">
        <v>46</v>
      </c>
      <c r="P1081" s="656" t="s">
        <v>47</v>
      </c>
      <c r="Q1081" s="657">
        <v>0</v>
      </c>
      <c r="R1081" s="657">
        <v>0</v>
      </c>
      <c r="S1081" s="657">
        <v>0</v>
      </c>
      <c r="T1081" s="657">
        <v>0</v>
      </c>
      <c r="U1081" s="657">
        <v>2718.605</v>
      </c>
      <c r="V1081" s="655">
        <v>2021</v>
      </c>
      <c r="W1081" s="659" t="s">
        <v>3675</v>
      </c>
      <c r="X1081" s="660" t="str">
        <f t="shared" si="50"/>
        <v/>
      </c>
      <c r="Y1081" s="661" t="str">
        <f t="shared" si="48"/>
        <v/>
      </c>
      <c r="Z1081" s="661" t="str">
        <f t="shared" si="49"/>
        <v/>
      </c>
    </row>
    <row r="1082" spans="1:26" s="128" customFormat="1" hidden="1">
      <c r="A1082" s="655">
        <v>56196</v>
      </c>
      <c r="B1082" s="656" t="s">
        <v>33</v>
      </c>
      <c r="C1082" s="655" t="s">
        <v>2793</v>
      </c>
      <c r="D1082" s="656" t="s">
        <v>184</v>
      </c>
      <c r="E1082" s="656" t="s">
        <v>56</v>
      </c>
      <c r="F1082" s="655">
        <v>15296</v>
      </c>
      <c r="G1082" s="656" t="s">
        <v>57</v>
      </c>
      <c r="H1082" s="656" t="s">
        <v>1182</v>
      </c>
      <c r="I1082" s="656" t="s">
        <v>58</v>
      </c>
      <c r="J1082" s="655">
        <v>22</v>
      </c>
      <c r="K1082" s="655">
        <v>1</v>
      </c>
      <c r="L1082" s="656" t="s">
        <v>34</v>
      </c>
      <c r="M1082" s="656" t="s">
        <v>38</v>
      </c>
      <c r="N1082" s="656" t="s">
        <v>39</v>
      </c>
      <c r="O1082" s="656" t="s">
        <v>39</v>
      </c>
      <c r="P1082" s="656" t="s">
        <v>1037</v>
      </c>
      <c r="Q1082" s="657">
        <v>0</v>
      </c>
      <c r="R1082" s="657">
        <v>0</v>
      </c>
      <c r="S1082" s="657">
        <v>0</v>
      </c>
      <c r="T1082" s="657">
        <v>0</v>
      </c>
      <c r="U1082" s="657">
        <v>1015618.4</v>
      </c>
      <c r="V1082" s="655">
        <v>2021</v>
      </c>
      <c r="W1082" s="659" t="s">
        <v>3675</v>
      </c>
      <c r="X1082" s="660" t="str">
        <f t="shared" si="50"/>
        <v/>
      </c>
      <c r="Y1082" s="661" t="str">
        <f t="shared" si="48"/>
        <v/>
      </c>
      <c r="Z1082" s="661" t="str">
        <f t="shared" si="49"/>
        <v/>
      </c>
    </row>
    <row r="1083" spans="1:26" s="128" customFormat="1" hidden="1">
      <c r="A1083" s="655">
        <v>56196</v>
      </c>
      <c r="B1083" s="656" t="s">
        <v>33</v>
      </c>
      <c r="C1083" s="655" t="s">
        <v>2793</v>
      </c>
      <c r="D1083" s="656" t="s">
        <v>184</v>
      </c>
      <c r="E1083" s="656" t="s">
        <v>56</v>
      </c>
      <c r="F1083" s="655">
        <v>15296</v>
      </c>
      <c r="G1083" s="656" t="s">
        <v>57</v>
      </c>
      <c r="H1083" s="656" t="s">
        <v>1182</v>
      </c>
      <c r="I1083" s="656" t="s">
        <v>58</v>
      </c>
      <c r="J1083" s="655">
        <v>22</v>
      </c>
      <c r="K1083" s="655">
        <v>1</v>
      </c>
      <c r="L1083" s="656" t="s">
        <v>34</v>
      </c>
      <c r="M1083" s="656" t="s">
        <v>41</v>
      </c>
      <c r="N1083" s="656" t="s">
        <v>46</v>
      </c>
      <c r="O1083" s="656" t="s">
        <v>46</v>
      </c>
      <c r="P1083" s="656" t="s">
        <v>47</v>
      </c>
      <c r="Q1083" s="657">
        <v>9956</v>
      </c>
      <c r="R1083" s="657">
        <v>9956</v>
      </c>
      <c r="S1083" s="657">
        <v>57052</v>
      </c>
      <c r="T1083" s="657">
        <v>57052</v>
      </c>
      <c r="U1083" s="657">
        <v>4781.5950000000003</v>
      </c>
      <c r="V1083" s="655">
        <v>2021</v>
      </c>
      <c r="W1083" s="659" t="s">
        <v>3675</v>
      </c>
      <c r="X1083" s="660">
        <f t="shared" si="50"/>
        <v>11.931583498811589</v>
      </c>
      <c r="Y1083" s="661" t="str">
        <f t="shared" si="48"/>
        <v/>
      </c>
      <c r="Z1083" s="661" t="str">
        <f t="shared" si="49"/>
        <v/>
      </c>
    </row>
    <row r="1084" spans="1:26" s="128" customFormat="1" hidden="1">
      <c r="A1084" s="655">
        <v>56196</v>
      </c>
      <c r="B1084" s="656" t="s">
        <v>33</v>
      </c>
      <c r="C1084" s="655" t="s">
        <v>2793</v>
      </c>
      <c r="D1084" s="656" t="s">
        <v>184</v>
      </c>
      <c r="E1084" s="656" t="s">
        <v>56</v>
      </c>
      <c r="F1084" s="655">
        <v>15296</v>
      </c>
      <c r="G1084" s="656" t="s">
        <v>57</v>
      </c>
      <c r="H1084" s="656" t="s">
        <v>1182</v>
      </c>
      <c r="I1084" s="656" t="s">
        <v>58</v>
      </c>
      <c r="J1084" s="655">
        <v>22</v>
      </c>
      <c r="K1084" s="655">
        <v>1</v>
      </c>
      <c r="L1084" s="656" t="s">
        <v>34</v>
      </c>
      <c r="M1084" s="656" t="s">
        <v>41</v>
      </c>
      <c r="N1084" s="656" t="s">
        <v>39</v>
      </c>
      <c r="O1084" s="656" t="s">
        <v>39</v>
      </c>
      <c r="P1084" s="656" t="s">
        <v>1037</v>
      </c>
      <c r="Q1084" s="657">
        <v>19754018</v>
      </c>
      <c r="R1084" s="657">
        <v>19754018</v>
      </c>
      <c r="S1084" s="657">
        <v>20345945</v>
      </c>
      <c r="T1084" s="657">
        <v>20345945</v>
      </c>
      <c r="U1084" s="657">
        <v>1728457.4</v>
      </c>
      <c r="V1084" s="655">
        <v>2021</v>
      </c>
      <c r="W1084" s="659" t="s">
        <v>3675</v>
      </c>
      <c r="X1084" s="660">
        <f t="shared" si="50"/>
        <v>11.7711579122517</v>
      </c>
      <c r="Y1084" s="661" t="str">
        <f t="shared" si="48"/>
        <v/>
      </c>
      <c r="Z1084" s="661" t="str">
        <f t="shared" si="49"/>
        <v/>
      </c>
    </row>
    <row r="1085" spans="1:26" s="128" customFormat="1" ht="25" hidden="1">
      <c r="A1085" s="655">
        <v>56234</v>
      </c>
      <c r="B1085" s="656" t="s">
        <v>33</v>
      </c>
      <c r="C1085" s="655" t="s">
        <v>2793</v>
      </c>
      <c r="D1085" s="656" t="s">
        <v>444</v>
      </c>
      <c r="E1085" s="656" t="s">
        <v>445</v>
      </c>
      <c r="F1085" s="655">
        <v>49950</v>
      </c>
      <c r="G1085" s="656" t="s">
        <v>57</v>
      </c>
      <c r="H1085" s="656" t="s">
        <v>1182</v>
      </c>
      <c r="I1085" s="656" t="s">
        <v>58</v>
      </c>
      <c r="J1085" s="655">
        <v>22</v>
      </c>
      <c r="K1085" s="655">
        <v>2</v>
      </c>
      <c r="L1085" s="656" t="s">
        <v>52</v>
      </c>
      <c r="M1085" s="656" t="s">
        <v>38</v>
      </c>
      <c r="N1085" s="656" t="s">
        <v>46</v>
      </c>
      <c r="O1085" s="656" t="s">
        <v>46</v>
      </c>
      <c r="P1085" s="656" t="s">
        <v>47</v>
      </c>
      <c r="Q1085" s="657">
        <v>0</v>
      </c>
      <c r="R1085" s="657">
        <v>0</v>
      </c>
      <c r="S1085" s="657">
        <v>0</v>
      </c>
      <c r="T1085" s="657">
        <v>0</v>
      </c>
      <c r="U1085" s="657">
        <v>824.49400000000003</v>
      </c>
      <c r="V1085" s="655">
        <v>2021</v>
      </c>
      <c r="W1085" s="659" t="s">
        <v>3675</v>
      </c>
      <c r="X1085" s="660" t="str">
        <f t="shared" si="50"/>
        <v/>
      </c>
      <c r="Y1085" s="661" t="str">
        <f t="shared" si="48"/>
        <v/>
      </c>
      <c r="Z1085" s="661" t="str">
        <f t="shared" si="49"/>
        <v/>
      </c>
    </row>
    <row r="1086" spans="1:26" s="128" customFormat="1" ht="25" hidden="1">
      <c r="A1086" s="655">
        <v>56234</v>
      </c>
      <c r="B1086" s="656" t="s">
        <v>33</v>
      </c>
      <c r="C1086" s="655" t="s">
        <v>2793</v>
      </c>
      <c r="D1086" s="656" t="s">
        <v>444</v>
      </c>
      <c r="E1086" s="656" t="s">
        <v>445</v>
      </c>
      <c r="F1086" s="655">
        <v>49950</v>
      </c>
      <c r="G1086" s="656" t="s">
        <v>57</v>
      </c>
      <c r="H1086" s="656" t="s">
        <v>1182</v>
      </c>
      <c r="I1086" s="656" t="s">
        <v>58</v>
      </c>
      <c r="J1086" s="655">
        <v>22</v>
      </c>
      <c r="K1086" s="655">
        <v>2</v>
      </c>
      <c r="L1086" s="656" t="s">
        <v>52</v>
      </c>
      <c r="M1086" s="656" t="s">
        <v>38</v>
      </c>
      <c r="N1086" s="656" t="s">
        <v>39</v>
      </c>
      <c r="O1086" s="656" t="s">
        <v>39</v>
      </c>
      <c r="P1086" s="656" t="s">
        <v>1037</v>
      </c>
      <c r="Q1086" s="657">
        <v>1498885</v>
      </c>
      <c r="R1086" s="657">
        <v>1498885</v>
      </c>
      <c r="S1086" s="657">
        <v>1544129</v>
      </c>
      <c r="T1086" s="657">
        <v>1544129</v>
      </c>
      <c r="U1086" s="657">
        <v>997649.51</v>
      </c>
      <c r="V1086" s="655">
        <v>2021</v>
      </c>
      <c r="W1086" s="659" t="s">
        <v>3675</v>
      </c>
      <c r="X1086" s="660">
        <f t="shared" si="50"/>
        <v>1.5477670108814066</v>
      </c>
      <c r="Y1086" s="661" t="str">
        <f t="shared" si="48"/>
        <v/>
      </c>
      <c r="Z1086" s="661" t="str">
        <f t="shared" si="49"/>
        <v/>
      </c>
    </row>
    <row r="1087" spans="1:26" s="128" customFormat="1" ht="25" hidden="1">
      <c r="A1087" s="655">
        <v>56234</v>
      </c>
      <c r="B1087" s="656" t="s">
        <v>33</v>
      </c>
      <c r="C1087" s="655" t="s">
        <v>2793</v>
      </c>
      <c r="D1087" s="656" t="s">
        <v>444</v>
      </c>
      <c r="E1087" s="656" t="s">
        <v>445</v>
      </c>
      <c r="F1087" s="655">
        <v>49950</v>
      </c>
      <c r="G1087" s="656" t="s">
        <v>57</v>
      </c>
      <c r="H1087" s="656" t="s">
        <v>1182</v>
      </c>
      <c r="I1087" s="656" t="s">
        <v>58</v>
      </c>
      <c r="J1087" s="655">
        <v>22</v>
      </c>
      <c r="K1087" s="655">
        <v>2</v>
      </c>
      <c r="L1087" s="656" t="s">
        <v>52</v>
      </c>
      <c r="M1087" s="656" t="s">
        <v>41</v>
      </c>
      <c r="N1087" s="656" t="s">
        <v>46</v>
      </c>
      <c r="O1087" s="656" t="s">
        <v>46</v>
      </c>
      <c r="P1087" s="656" t="s">
        <v>47</v>
      </c>
      <c r="Q1087" s="657">
        <v>2735</v>
      </c>
      <c r="R1087" s="657">
        <v>2735</v>
      </c>
      <c r="S1087" s="657">
        <v>16081</v>
      </c>
      <c r="T1087" s="657">
        <v>16081</v>
      </c>
      <c r="U1087" s="657">
        <v>1426.3810000000001</v>
      </c>
      <c r="V1087" s="655">
        <v>2021</v>
      </c>
      <c r="W1087" s="659" t="s">
        <v>3675</v>
      </c>
      <c r="X1087" s="660">
        <f t="shared" si="50"/>
        <v>11.273986403352259</v>
      </c>
      <c r="Y1087" s="661" t="str">
        <f t="shared" si="48"/>
        <v/>
      </c>
      <c r="Z1087" s="661" t="str">
        <f t="shared" si="49"/>
        <v/>
      </c>
    </row>
    <row r="1088" spans="1:26" s="128" customFormat="1" ht="25" hidden="1">
      <c r="A1088" s="655">
        <v>56234</v>
      </c>
      <c r="B1088" s="656" t="s">
        <v>33</v>
      </c>
      <c r="C1088" s="655" t="s">
        <v>2793</v>
      </c>
      <c r="D1088" s="656" t="s">
        <v>444</v>
      </c>
      <c r="E1088" s="656" t="s">
        <v>445</v>
      </c>
      <c r="F1088" s="655">
        <v>49950</v>
      </c>
      <c r="G1088" s="656" t="s">
        <v>57</v>
      </c>
      <c r="H1088" s="656" t="s">
        <v>1182</v>
      </c>
      <c r="I1088" s="656" t="s">
        <v>58</v>
      </c>
      <c r="J1088" s="655">
        <v>22</v>
      </c>
      <c r="K1088" s="655">
        <v>2</v>
      </c>
      <c r="L1088" s="656" t="s">
        <v>52</v>
      </c>
      <c r="M1088" s="656" t="s">
        <v>41</v>
      </c>
      <c r="N1088" s="656" t="s">
        <v>39</v>
      </c>
      <c r="O1088" s="656" t="s">
        <v>39</v>
      </c>
      <c r="P1088" s="656" t="s">
        <v>1037</v>
      </c>
      <c r="Q1088" s="657">
        <v>16302368</v>
      </c>
      <c r="R1088" s="657">
        <v>16302368</v>
      </c>
      <c r="S1088" s="657">
        <v>16798774</v>
      </c>
      <c r="T1088" s="657">
        <v>16798774</v>
      </c>
      <c r="U1088" s="657">
        <v>1480865.6</v>
      </c>
      <c r="V1088" s="655">
        <v>2021</v>
      </c>
      <c r="W1088" s="659" t="s">
        <v>3675</v>
      </c>
      <c r="X1088" s="660">
        <f t="shared" si="50"/>
        <v>11.34388833125707</v>
      </c>
      <c r="Y1088" s="661" t="str">
        <f t="shared" si="48"/>
        <v/>
      </c>
      <c r="Z1088" s="661" t="str">
        <f t="shared" si="49"/>
        <v/>
      </c>
    </row>
    <row r="1089" spans="1:26" s="128" customFormat="1" hidden="1">
      <c r="A1089" s="655">
        <v>56250</v>
      </c>
      <c r="B1089" s="656" t="s">
        <v>33</v>
      </c>
      <c r="C1089" s="655" t="s">
        <v>2793</v>
      </c>
      <c r="D1089" s="656" t="s">
        <v>1014</v>
      </c>
      <c r="E1089" s="656" t="s">
        <v>983</v>
      </c>
      <c r="F1089" s="655">
        <v>17283</v>
      </c>
      <c r="G1089" s="656" t="s">
        <v>57</v>
      </c>
      <c r="H1089" s="656" t="s">
        <v>1182</v>
      </c>
      <c r="I1089" s="656" t="s">
        <v>58</v>
      </c>
      <c r="J1089" s="655">
        <v>22</v>
      </c>
      <c r="K1089" s="655">
        <v>2</v>
      </c>
      <c r="L1089" s="656" t="s">
        <v>52</v>
      </c>
      <c r="M1089" s="656" t="s">
        <v>51</v>
      </c>
      <c r="N1089" s="656" t="s">
        <v>63</v>
      </c>
      <c r="O1089" s="656" t="s">
        <v>64</v>
      </c>
      <c r="P1089" s="656" t="s">
        <v>1037</v>
      </c>
      <c r="Q1089" s="657">
        <v>2081683</v>
      </c>
      <c r="R1089" s="657">
        <v>2081683</v>
      </c>
      <c r="S1089" s="657">
        <v>1009618</v>
      </c>
      <c r="T1089" s="657">
        <v>1009618</v>
      </c>
      <c r="U1089" s="657">
        <v>81320</v>
      </c>
      <c r="V1089" s="655">
        <v>2021</v>
      </c>
      <c r="W1089" s="659"/>
      <c r="X1089" s="660">
        <f t="shared" si="50"/>
        <v>12.415371372356123</v>
      </c>
      <c r="Y1089" s="661" t="str">
        <f t="shared" si="48"/>
        <v/>
      </c>
      <c r="Z1089" s="661" t="str">
        <f t="shared" si="49"/>
        <v/>
      </c>
    </row>
    <row r="1090" spans="1:26" s="128" customFormat="1" hidden="1">
      <c r="A1090" s="655">
        <v>56259</v>
      </c>
      <c r="B1090" s="656" t="s">
        <v>54</v>
      </c>
      <c r="C1090" s="655" t="s">
        <v>2793</v>
      </c>
      <c r="D1090" s="656" t="s">
        <v>1912</v>
      </c>
      <c r="E1090" s="656" t="s">
        <v>1912</v>
      </c>
      <c r="F1090" s="655">
        <v>56480</v>
      </c>
      <c r="G1090" s="656" t="s">
        <v>57</v>
      </c>
      <c r="H1090" s="656" t="s">
        <v>1182</v>
      </c>
      <c r="I1090" s="656" t="s">
        <v>58</v>
      </c>
      <c r="J1090" s="655">
        <v>22</v>
      </c>
      <c r="K1090" s="655">
        <v>3</v>
      </c>
      <c r="L1090" s="656" t="s">
        <v>55</v>
      </c>
      <c r="M1090" s="656" t="s">
        <v>38</v>
      </c>
      <c r="N1090" s="656" t="s">
        <v>46</v>
      </c>
      <c r="O1090" s="656" t="s">
        <v>46</v>
      </c>
      <c r="P1090" s="656" t="s">
        <v>47</v>
      </c>
      <c r="Q1090" s="657">
        <v>0</v>
      </c>
      <c r="R1090" s="657">
        <v>0</v>
      </c>
      <c r="S1090" s="657">
        <v>0</v>
      </c>
      <c r="T1090" s="657">
        <v>0</v>
      </c>
      <c r="U1090" s="657">
        <v>134.346</v>
      </c>
      <c r="V1090" s="655">
        <v>2021</v>
      </c>
      <c r="W1090" s="659"/>
      <c r="X1090" s="660" t="str">
        <f t="shared" si="50"/>
        <v/>
      </c>
      <c r="Y1090" s="661" t="str">
        <f t="shared" si="48"/>
        <v/>
      </c>
      <c r="Z1090" s="661" t="str">
        <f t="shared" si="49"/>
        <v/>
      </c>
    </row>
    <row r="1091" spans="1:26" s="128" customFormat="1" hidden="1">
      <c r="A1091" s="655">
        <v>56259</v>
      </c>
      <c r="B1091" s="656" t="s">
        <v>54</v>
      </c>
      <c r="C1091" s="655" t="s">
        <v>2793</v>
      </c>
      <c r="D1091" s="656" t="s">
        <v>1912</v>
      </c>
      <c r="E1091" s="656" t="s">
        <v>1912</v>
      </c>
      <c r="F1091" s="655">
        <v>56480</v>
      </c>
      <c r="G1091" s="656" t="s">
        <v>57</v>
      </c>
      <c r="H1091" s="656" t="s">
        <v>1182</v>
      </c>
      <c r="I1091" s="656" t="s">
        <v>58</v>
      </c>
      <c r="J1091" s="655">
        <v>22</v>
      </c>
      <c r="K1091" s="655">
        <v>3</v>
      </c>
      <c r="L1091" s="656" t="s">
        <v>55</v>
      </c>
      <c r="M1091" s="656" t="s">
        <v>38</v>
      </c>
      <c r="N1091" s="656" t="s">
        <v>39</v>
      </c>
      <c r="O1091" s="656" t="s">
        <v>39</v>
      </c>
      <c r="P1091" s="656" t="s">
        <v>1037</v>
      </c>
      <c r="Q1091" s="657">
        <v>1546326</v>
      </c>
      <c r="R1091" s="657">
        <v>1546326</v>
      </c>
      <c r="S1091" s="657">
        <v>1592311</v>
      </c>
      <c r="T1091" s="657">
        <v>1592311</v>
      </c>
      <c r="U1091" s="657">
        <v>1341752.7</v>
      </c>
      <c r="V1091" s="655">
        <v>2021</v>
      </c>
      <c r="W1091" s="659"/>
      <c r="X1091" s="660">
        <f t="shared" si="50"/>
        <v>1.1867395534214316</v>
      </c>
      <c r="Y1091" s="661" t="str">
        <f t="shared" si="48"/>
        <v/>
      </c>
      <c r="Z1091" s="661" t="str">
        <f t="shared" si="49"/>
        <v/>
      </c>
    </row>
    <row r="1092" spans="1:26" s="128" customFormat="1" hidden="1">
      <c r="A1092" s="655">
        <v>56259</v>
      </c>
      <c r="B1092" s="656" t="s">
        <v>54</v>
      </c>
      <c r="C1092" s="655" t="s">
        <v>2793</v>
      </c>
      <c r="D1092" s="656" t="s">
        <v>1912</v>
      </c>
      <c r="E1092" s="656" t="s">
        <v>1912</v>
      </c>
      <c r="F1092" s="655">
        <v>56480</v>
      </c>
      <c r="G1092" s="656" t="s">
        <v>57</v>
      </c>
      <c r="H1092" s="656" t="s">
        <v>1182</v>
      </c>
      <c r="I1092" s="656" t="s">
        <v>58</v>
      </c>
      <c r="J1092" s="655">
        <v>22</v>
      </c>
      <c r="K1092" s="655">
        <v>3</v>
      </c>
      <c r="L1092" s="656" t="s">
        <v>55</v>
      </c>
      <c r="M1092" s="656" t="s">
        <v>41</v>
      </c>
      <c r="N1092" s="656" t="s">
        <v>46</v>
      </c>
      <c r="O1092" s="656" t="s">
        <v>46</v>
      </c>
      <c r="P1092" s="656" t="s">
        <v>47</v>
      </c>
      <c r="Q1092" s="657">
        <v>476</v>
      </c>
      <c r="R1092" s="657">
        <v>476</v>
      </c>
      <c r="S1092" s="657">
        <v>2748</v>
      </c>
      <c r="T1092" s="657">
        <v>2748</v>
      </c>
      <c r="U1092" s="657">
        <v>231.73099999999999</v>
      </c>
      <c r="V1092" s="655">
        <v>2021</v>
      </c>
      <c r="W1092" s="659"/>
      <c r="X1092" s="660">
        <f t="shared" si="50"/>
        <v>11.858577402246571</v>
      </c>
      <c r="Y1092" s="661" t="str">
        <f t="shared" si="48"/>
        <v/>
      </c>
      <c r="Z1092" s="661" t="str">
        <f t="shared" si="49"/>
        <v/>
      </c>
    </row>
    <row r="1093" spans="1:26" s="128" customFormat="1" hidden="1">
      <c r="A1093" s="655">
        <v>56259</v>
      </c>
      <c r="B1093" s="656" t="s">
        <v>54</v>
      </c>
      <c r="C1093" s="655" t="s">
        <v>2793</v>
      </c>
      <c r="D1093" s="656" t="s">
        <v>1912</v>
      </c>
      <c r="E1093" s="656" t="s">
        <v>1912</v>
      </c>
      <c r="F1093" s="655">
        <v>56480</v>
      </c>
      <c r="G1093" s="656" t="s">
        <v>57</v>
      </c>
      <c r="H1093" s="656" t="s">
        <v>1182</v>
      </c>
      <c r="I1093" s="656" t="s">
        <v>58</v>
      </c>
      <c r="J1093" s="655">
        <v>22</v>
      </c>
      <c r="K1093" s="655">
        <v>3</v>
      </c>
      <c r="L1093" s="656" t="s">
        <v>55</v>
      </c>
      <c r="M1093" s="656" t="s">
        <v>41</v>
      </c>
      <c r="N1093" s="656" t="s">
        <v>39</v>
      </c>
      <c r="O1093" s="656" t="s">
        <v>39</v>
      </c>
      <c r="P1093" s="656" t="s">
        <v>1037</v>
      </c>
      <c r="Q1093" s="657">
        <v>23438896</v>
      </c>
      <c r="R1093" s="657">
        <v>23438896</v>
      </c>
      <c r="S1093" s="657">
        <v>24150566</v>
      </c>
      <c r="T1093" s="657">
        <v>24150566</v>
      </c>
      <c r="U1093" s="657">
        <v>2121446.2999999998</v>
      </c>
      <c r="V1093" s="655">
        <v>2021</v>
      </c>
      <c r="W1093" s="659"/>
      <c r="X1093" s="660">
        <f t="shared" si="50"/>
        <v>11.384010050124767</v>
      </c>
      <c r="Y1093" s="661" t="str">
        <f t="shared" si="48"/>
        <v/>
      </c>
      <c r="Z1093" s="661" t="str">
        <f t="shared" si="49"/>
        <v/>
      </c>
    </row>
    <row r="1094" spans="1:26" s="128" customFormat="1" hidden="1">
      <c r="A1094" s="655">
        <v>56290</v>
      </c>
      <c r="B1094" s="656" t="s">
        <v>33</v>
      </c>
      <c r="C1094" s="655" t="s">
        <v>2793</v>
      </c>
      <c r="D1094" s="656" t="s">
        <v>136</v>
      </c>
      <c r="E1094" s="656" t="s">
        <v>137</v>
      </c>
      <c r="F1094" s="655">
        <v>54684</v>
      </c>
      <c r="G1094" s="656" t="s">
        <v>57</v>
      </c>
      <c r="H1094" s="656" t="s">
        <v>1182</v>
      </c>
      <c r="I1094" s="656" t="s">
        <v>58</v>
      </c>
      <c r="J1094" s="655">
        <v>22</v>
      </c>
      <c r="K1094" s="655">
        <v>2</v>
      </c>
      <c r="L1094" s="656" t="s">
        <v>52</v>
      </c>
      <c r="M1094" s="656" t="s">
        <v>71</v>
      </c>
      <c r="N1094" s="656" t="s">
        <v>72</v>
      </c>
      <c r="O1094" s="656" t="s">
        <v>72</v>
      </c>
      <c r="P1094" s="656" t="s">
        <v>1176</v>
      </c>
      <c r="Q1094" s="657">
        <v>0</v>
      </c>
      <c r="R1094" s="657">
        <v>0</v>
      </c>
      <c r="S1094" s="657">
        <v>5467345</v>
      </c>
      <c r="T1094" s="657">
        <v>5467345</v>
      </c>
      <c r="U1094" s="657">
        <v>618268</v>
      </c>
      <c r="V1094" s="655">
        <v>2021</v>
      </c>
      <c r="W1094" s="659"/>
      <c r="X1094" s="660">
        <f t="shared" si="50"/>
        <v>8.8430017403456098</v>
      </c>
      <c r="Y1094" s="661" t="str">
        <f t="shared" si="48"/>
        <v/>
      </c>
      <c r="Z1094" s="661" t="str">
        <f t="shared" si="49"/>
        <v/>
      </c>
    </row>
    <row r="1095" spans="1:26" s="128" customFormat="1" ht="25" hidden="1">
      <c r="A1095" s="655">
        <v>56323</v>
      </c>
      <c r="B1095" s="656" t="s">
        <v>33</v>
      </c>
      <c r="C1095" s="655" t="s">
        <v>2793</v>
      </c>
      <c r="D1095" s="656" t="s">
        <v>1015</v>
      </c>
      <c r="E1095" s="656" t="s">
        <v>1016</v>
      </c>
      <c r="F1095" s="655">
        <v>50158</v>
      </c>
      <c r="G1095" s="656" t="s">
        <v>57</v>
      </c>
      <c r="H1095" s="656" t="s">
        <v>1182</v>
      </c>
      <c r="I1095" s="656" t="s">
        <v>58</v>
      </c>
      <c r="J1095" s="655">
        <v>22</v>
      </c>
      <c r="K1095" s="655">
        <v>2</v>
      </c>
      <c r="L1095" s="656" t="s">
        <v>52</v>
      </c>
      <c r="M1095" s="656" t="s">
        <v>51</v>
      </c>
      <c r="N1095" s="656" t="s">
        <v>63</v>
      </c>
      <c r="O1095" s="656" t="s">
        <v>64</v>
      </c>
      <c r="P1095" s="656" t="s">
        <v>1037</v>
      </c>
      <c r="Q1095" s="657">
        <v>679434</v>
      </c>
      <c r="R1095" s="657">
        <v>679434</v>
      </c>
      <c r="S1095" s="657">
        <v>368933</v>
      </c>
      <c r="T1095" s="657">
        <v>368933</v>
      </c>
      <c r="U1095" s="657">
        <v>32591</v>
      </c>
      <c r="V1095" s="655">
        <v>2021</v>
      </c>
      <c r="W1095" s="659"/>
      <c r="X1095" s="660">
        <f t="shared" si="50"/>
        <v>11.320088367954343</v>
      </c>
      <c r="Y1095" s="661" t="str">
        <f t="shared" ref="Y1095:Y1158" si="51">IF(AND($M1095=$Y$2,$N1095=$Y$3,NOT($Q1095=$R1095),NOT($U1095=0)),IF($K1095=5,$S1095/($U1095+(8/5)*$U1095),IF($K1095=7,$S1095/($U1095+(29/25)*$U1095),"")),"")</f>
        <v/>
      </c>
      <c r="Z1095" s="661" t="str">
        <f t="shared" ref="Z1095:Z1158" si="52">IF(AND($M1095=$Y$2,$N1095=$Y$4,NOT($Q1095=$R1095),NOT($U1095=0)),IF($K1095=5,$S1095/($U1095+(8/5)*$U1095),IF($K1095=7,$S1095/($U1095+(29/25)*$U1095),"")),"")</f>
        <v/>
      </c>
    </row>
    <row r="1096" spans="1:26" s="128" customFormat="1" ht="25" hidden="1">
      <c r="A1096" s="655">
        <v>56324</v>
      </c>
      <c r="B1096" s="656" t="s">
        <v>33</v>
      </c>
      <c r="C1096" s="655" t="s">
        <v>2793</v>
      </c>
      <c r="D1096" s="656" t="s">
        <v>1017</v>
      </c>
      <c r="E1096" s="656" t="s">
        <v>1016</v>
      </c>
      <c r="F1096" s="655">
        <v>50158</v>
      </c>
      <c r="G1096" s="656" t="s">
        <v>57</v>
      </c>
      <c r="H1096" s="656" t="s">
        <v>1182</v>
      </c>
      <c r="I1096" s="656" t="s">
        <v>58</v>
      </c>
      <c r="J1096" s="655">
        <v>22</v>
      </c>
      <c r="K1096" s="655">
        <v>2</v>
      </c>
      <c r="L1096" s="656" t="s">
        <v>52</v>
      </c>
      <c r="M1096" s="656" t="s">
        <v>51</v>
      </c>
      <c r="N1096" s="656" t="s">
        <v>63</v>
      </c>
      <c r="O1096" s="656" t="s">
        <v>64</v>
      </c>
      <c r="P1096" s="656" t="s">
        <v>1037</v>
      </c>
      <c r="Q1096" s="657">
        <v>859632</v>
      </c>
      <c r="R1096" s="657">
        <v>859632</v>
      </c>
      <c r="S1096" s="657">
        <v>451308</v>
      </c>
      <c r="T1096" s="657">
        <v>451308</v>
      </c>
      <c r="U1096" s="657">
        <v>34490</v>
      </c>
      <c r="V1096" s="655">
        <v>2021</v>
      </c>
      <c r="W1096" s="659"/>
      <c r="X1096" s="660">
        <f t="shared" ref="X1096:X1159" si="53">IF(OR(K1096&gt;3,T1096=0,NOT(U1096&gt;0)),"",T1096/U1096)</f>
        <v>13.08518411133662</v>
      </c>
      <c r="Y1096" s="661" t="str">
        <f t="shared" si="51"/>
        <v/>
      </c>
      <c r="Z1096" s="661" t="str">
        <f t="shared" si="52"/>
        <v/>
      </c>
    </row>
    <row r="1097" spans="1:26" s="128" customFormat="1" hidden="1">
      <c r="A1097" s="655">
        <v>56399</v>
      </c>
      <c r="B1097" s="656" t="s">
        <v>33</v>
      </c>
      <c r="C1097" s="655" t="s">
        <v>2793</v>
      </c>
      <c r="D1097" s="656" t="s">
        <v>1018</v>
      </c>
      <c r="E1097" s="656" t="s">
        <v>1913</v>
      </c>
      <c r="F1097" s="655">
        <v>15399</v>
      </c>
      <c r="G1097" s="656" t="s">
        <v>96</v>
      </c>
      <c r="H1097" s="656" t="s">
        <v>1183</v>
      </c>
      <c r="I1097" s="656" t="s">
        <v>58</v>
      </c>
      <c r="J1097" s="655">
        <v>22</v>
      </c>
      <c r="K1097" s="655">
        <v>2</v>
      </c>
      <c r="L1097" s="656" t="s">
        <v>52</v>
      </c>
      <c r="M1097" s="656" t="s">
        <v>71</v>
      </c>
      <c r="N1097" s="656" t="s">
        <v>72</v>
      </c>
      <c r="O1097" s="656" t="s">
        <v>72</v>
      </c>
      <c r="P1097" s="656" t="s">
        <v>1176</v>
      </c>
      <c r="Q1097" s="657">
        <v>0</v>
      </c>
      <c r="R1097" s="657">
        <v>0</v>
      </c>
      <c r="S1097" s="657">
        <v>546489</v>
      </c>
      <c r="T1097" s="657">
        <v>546489</v>
      </c>
      <c r="U1097" s="657">
        <v>61799</v>
      </c>
      <c r="V1097" s="655">
        <v>2021</v>
      </c>
      <c r="W1097" s="659"/>
      <c r="X1097" s="660">
        <f t="shared" si="53"/>
        <v>8.8430071684007832</v>
      </c>
      <c r="Y1097" s="661" t="str">
        <f t="shared" si="51"/>
        <v/>
      </c>
      <c r="Z1097" s="661" t="str">
        <f t="shared" si="52"/>
        <v/>
      </c>
    </row>
    <row r="1098" spans="1:26" s="128" customFormat="1" ht="25">
      <c r="A1098" s="655">
        <v>56426</v>
      </c>
      <c r="B1098" s="656" t="s">
        <v>33</v>
      </c>
      <c r="C1098" s="655" t="s">
        <v>2793</v>
      </c>
      <c r="D1098" s="656" t="s">
        <v>1692</v>
      </c>
      <c r="E1098" s="656" t="s">
        <v>1019</v>
      </c>
      <c r="F1098" s="655">
        <v>54812</v>
      </c>
      <c r="G1098" s="656" t="s">
        <v>81</v>
      </c>
      <c r="H1098" s="656" t="s">
        <v>1183</v>
      </c>
      <c r="I1098" s="656" t="s">
        <v>58</v>
      </c>
      <c r="J1098" s="655">
        <v>22</v>
      </c>
      <c r="K1098" s="655">
        <v>2</v>
      </c>
      <c r="L1098" s="656" t="s">
        <v>52</v>
      </c>
      <c r="M1098" s="656" t="s">
        <v>51</v>
      </c>
      <c r="N1098" s="656" t="s">
        <v>63</v>
      </c>
      <c r="O1098" s="656" t="s">
        <v>64</v>
      </c>
      <c r="P1098" s="656" t="s">
        <v>1037</v>
      </c>
      <c r="Q1098" s="657">
        <v>573370</v>
      </c>
      <c r="R1098" s="657">
        <v>573370</v>
      </c>
      <c r="S1098" s="657">
        <v>293566</v>
      </c>
      <c r="T1098" s="657">
        <v>293566</v>
      </c>
      <c r="U1098" s="657">
        <v>26223</v>
      </c>
      <c r="V1098" s="655">
        <v>2021</v>
      </c>
      <c r="W1098" s="659"/>
      <c r="X1098" s="660">
        <f t="shared" si="53"/>
        <v>11.194981504785876</v>
      </c>
      <c r="Y1098" s="661" t="str">
        <f t="shared" si="51"/>
        <v/>
      </c>
      <c r="Z1098" s="661" t="str">
        <f t="shared" si="52"/>
        <v/>
      </c>
    </row>
    <row r="1099" spans="1:26" s="128" customFormat="1" ht="25" hidden="1">
      <c r="A1099" s="655">
        <v>56448</v>
      </c>
      <c r="B1099" s="656" t="s">
        <v>33</v>
      </c>
      <c r="C1099" s="655" t="s">
        <v>2793</v>
      </c>
      <c r="D1099" s="656" t="s">
        <v>138</v>
      </c>
      <c r="E1099" s="656" t="s">
        <v>3120</v>
      </c>
      <c r="F1099" s="655">
        <v>59155</v>
      </c>
      <c r="G1099" s="656" t="s">
        <v>90</v>
      </c>
      <c r="H1099" s="656" t="s">
        <v>1183</v>
      </c>
      <c r="I1099" s="656" t="s">
        <v>58</v>
      </c>
      <c r="J1099" s="655">
        <v>22</v>
      </c>
      <c r="K1099" s="655">
        <v>2</v>
      </c>
      <c r="L1099" s="656" t="s">
        <v>52</v>
      </c>
      <c r="M1099" s="656" t="s">
        <v>71</v>
      </c>
      <c r="N1099" s="656" t="s">
        <v>72</v>
      </c>
      <c r="O1099" s="656" t="s">
        <v>72</v>
      </c>
      <c r="P1099" s="656" t="s">
        <v>1176</v>
      </c>
      <c r="Q1099" s="657">
        <v>0</v>
      </c>
      <c r="R1099" s="657">
        <v>0</v>
      </c>
      <c r="S1099" s="657">
        <v>1024932</v>
      </c>
      <c r="T1099" s="657">
        <v>1024932</v>
      </c>
      <c r="U1099" s="657">
        <v>115903</v>
      </c>
      <c r="V1099" s="655">
        <v>2021</v>
      </c>
      <c r="W1099" s="659"/>
      <c r="X1099" s="660">
        <f t="shared" si="53"/>
        <v>8.843015280018637</v>
      </c>
      <c r="Y1099" s="661" t="str">
        <f t="shared" si="51"/>
        <v/>
      </c>
      <c r="Z1099" s="661" t="str">
        <f t="shared" si="52"/>
        <v/>
      </c>
    </row>
    <row r="1100" spans="1:26" s="128" customFormat="1" ht="25" hidden="1">
      <c r="A1100" s="655">
        <v>56526</v>
      </c>
      <c r="B1100" s="656" t="s">
        <v>33</v>
      </c>
      <c r="C1100" s="655" t="s">
        <v>2793</v>
      </c>
      <c r="D1100" s="656" t="s">
        <v>1020</v>
      </c>
      <c r="E1100" s="656" t="s">
        <v>902</v>
      </c>
      <c r="F1100" s="655">
        <v>54842</v>
      </c>
      <c r="G1100" s="656" t="s">
        <v>57</v>
      </c>
      <c r="H1100" s="656" t="s">
        <v>1182</v>
      </c>
      <c r="I1100" s="656" t="s">
        <v>58</v>
      </c>
      <c r="J1100" s="655">
        <v>22</v>
      </c>
      <c r="K1100" s="655">
        <v>2</v>
      </c>
      <c r="L1100" s="656" t="s">
        <v>52</v>
      </c>
      <c r="M1100" s="656" t="s">
        <v>51</v>
      </c>
      <c r="N1100" s="656" t="s">
        <v>63</v>
      </c>
      <c r="O1100" s="656" t="s">
        <v>64</v>
      </c>
      <c r="P1100" s="656" t="s">
        <v>1037</v>
      </c>
      <c r="Q1100" s="657">
        <v>907991</v>
      </c>
      <c r="R1100" s="657">
        <v>907991</v>
      </c>
      <c r="S1100" s="657">
        <v>446733</v>
      </c>
      <c r="T1100" s="657">
        <v>446733</v>
      </c>
      <c r="U1100" s="657">
        <v>37097</v>
      </c>
      <c r="V1100" s="655">
        <v>2021</v>
      </c>
      <c r="W1100" s="659"/>
      <c r="X1100" s="660">
        <f t="shared" si="53"/>
        <v>12.04229452516376</v>
      </c>
      <c r="Y1100" s="661" t="str">
        <f t="shared" si="51"/>
        <v/>
      </c>
      <c r="Z1100" s="661" t="str">
        <f t="shared" si="52"/>
        <v/>
      </c>
    </row>
    <row r="1101" spans="1:26" s="128" customFormat="1" ht="25">
      <c r="A1101" s="655">
        <v>56527</v>
      </c>
      <c r="B1101" s="656" t="s">
        <v>33</v>
      </c>
      <c r="C1101" s="655" t="s">
        <v>2793</v>
      </c>
      <c r="D1101" s="656" t="s">
        <v>1021</v>
      </c>
      <c r="E1101" s="656" t="s">
        <v>902</v>
      </c>
      <c r="F1101" s="655">
        <v>54842</v>
      </c>
      <c r="G1101" s="656" t="s">
        <v>81</v>
      </c>
      <c r="H1101" s="656" t="s">
        <v>1183</v>
      </c>
      <c r="I1101" s="656" t="s">
        <v>58</v>
      </c>
      <c r="J1101" s="655">
        <v>22</v>
      </c>
      <c r="K1101" s="655">
        <v>2</v>
      </c>
      <c r="L1101" s="656" t="s">
        <v>52</v>
      </c>
      <c r="M1101" s="656" t="s">
        <v>51</v>
      </c>
      <c r="N1101" s="656" t="s">
        <v>63</v>
      </c>
      <c r="O1101" s="656" t="s">
        <v>64</v>
      </c>
      <c r="P1101" s="656" t="s">
        <v>1037</v>
      </c>
      <c r="Q1101" s="657">
        <v>826099</v>
      </c>
      <c r="R1101" s="657">
        <v>826099</v>
      </c>
      <c r="S1101" s="657">
        <v>411396</v>
      </c>
      <c r="T1101" s="657">
        <v>411396</v>
      </c>
      <c r="U1101" s="657">
        <v>37241</v>
      </c>
      <c r="V1101" s="655">
        <v>2021</v>
      </c>
      <c r="W1101" s="659"/>
      <c r="X1101" s="660">
        <f t="shared" si="53"/>
        <v>11.046856958728283</v>
      </c>
      <c r="Y1101" s="661" t="str">
        <f t="shared" si="51"/>
        <v/>
      </c>
      <c r="Z1101" s="661" t="str">
        <f t="shared" si="52"/>
        <v/>
      </c>
    </row>
    <row r="1102" spans="1:26" s="128" customFormat="1" hidden="1">
      <c r="A1102" s="655">
        <v>56575</v>
      </c>
      <c r="B1102" s="656" t="s">
        <v>33</v>
      </c>
      <c r="C1102" s="655" t="s">
        <v>2793</v>
      </c>
      <c r="D1102" s="656" t="s">
        <v>1022</v>
      </c>
      <c r="E1102" s="656" t="s">
        <v>3120</v>
      </c>
      <c r="F1102" s="655">
        <v>59155</v>
      </c>
      <c r="G1102" s="656" t="s">
        <v>57</v>
      </c>
      <c r="H1102" s="656" t="s">
        <v>1182</v>
      </c>
      <c r="I1102" s="656" t="s">
        <v>58</v>
      </c>
      <c r="J1102" s="655">
        <v>22</v>
      </c>
      <c r="K1102" s="655">
        <v>2</v>
      </c>
      <c r="L1102" s="656" t="s">
        <v>52</v>
      </c>
      <c r="M1102" s="656" t="s">
        <v>71</v>
      </c>
      <c r="N1102" s="656" t="s">
        <v>72</v>
      </c>
      <c r="O1102" s="656" t="s">
        <v>72</v>
      </c>
      <c r="P1102" s="656" t="s">
        <v>1176</v>
      </c>
      <c r="Q1102" s="657">
        <v>0</v>
      </c>
      <c r="R1102" s="657">
        <v>0</v>
      </c>
      <c r="S1102" s="657">
        <v>542208</v>
      </c>
      <c r="T1102" s="657">
        <v>542208</v>
      </c>
      <c r="U1102" s="657">
        <v>61315</v>
      </c>
      <c r="V1102" s="655">
        <v>2021</v>
      </c>
      <c r="W1102" s="659"/>
      <c r="X1102" s="660">
        <f t="shared" si="53"/>
        <v>8.8429911114735376</v>
      </c>
      <c r="Y1102" s="661" t="str">
        <f t="shared" si="51"/>
        <v/>
      </c>
      <c r="Z1102" s="661" t="str">
        <f t="shared" si="52"/>
        <v/>
      </c>
    </row>
    <row r="1103" spans="1:26" s="128" customFormat="1" ht="25" hidden="1">
      <c r="A1103" s="655">
        <v>56594</v>
      </c>
      <c r="B1103" s="656" t="s">
        <v>33</v>
      </c>
      <c r="C1103" s="655" t="s">
        <v>2793</v>
      </c>
      <c r="D1103" s="656" t="s">
        <v>139</v>
      </c>
      <c r="E1103" s="656" t="s">
        <v>2808</v>
      </c>
      <c r="F1103" s="655">
        <v>56215</v>
      </c>
      <c r="G1103" s="656" t="s">
        <v>57</v>
      </c>
      <c r="H1103" s="656" t="s">
        <v>1182</v>
      </c>
      <c r="I1103" s="656" t="s">
        <v>58</v>
      </c>
      <c r="J1103" s="655">
        <v>22</v>
      </c>
      <c r="K1103" s="655">
        <v>2</v>
      </c>
      <c r="L1103" s="656" t="s">
        <v>52</v>
      </c>
      <c r="M1103" s="656" t="s">
        <v>71</v>
      </c>
      <c r="N1103" s="656" t="s">
        <v>72</v>
      </c>
      <c r="O1103" s="656" t="s">
        <v>72</v>
      </c>
      <c r="P1103" s="656" t="s">
        <v>1176</v>
      </c>
      <c r="Q1103" s="657">
        <v>0</v>
      </c>
      <c r="R1103" s="657">
        <v>0</v>
      </c>
      <c r="S1103" s="657">
        <v>699632</v>
      </c>
      <c r="T1103" s="657">
        <v>699632</v>
      </c>
      <c r="U1103" s="657">
        <v>79117</v>
      </c>
      <c r="V1103" s="655">
        <v>2021</v>
      </c>
      <c r="W1103" s="659"/>
      <c r="X1103" s="660">
        <f t="shared" si="53"/>
        <v>8.8430046639786646</v>
      </c>
      <c r="Y1103" s="661" t="str">
        <f t="shared" si="51"/>
        <v/>
      </c>
      <c r="Z1103" s="661" t="str">
        <f t="shared" si="52"/>
        <v/>
      </c>
    </row>
    <row r="1104" spans="1:26" s="128" customFormat="1" ht="25" hidden="1">
      <c r="A1104" s="655">
        <v>56618</v>
      </c>
      <c r="B1104" s="656" t="s">
        <v>33</v>
      </c>
      <c r="C1104" s="655" t="s">
        <v>2793</v>
      </c>
      <c r="D1104" s="656" t="s">
        <v>3121</v>
      </c>
      <c r="E1104" s="656" t="s">
        <v>3122</v>
      </c>
      <c r="F1104" s="655">
        <v>63858</v>
      </c>
      <c r="G1104" s="656" t="s">
        <v>57</v>
      </c>
      <c r="H1104" s="656" t="s">
        <v>1182</v>
      </c>
      <c r="I1104" s="656" t="s">
        <v>58</v>
      </c>
      <c r="J1104" s="655">
        <v>22</v>
      </c>
      <c r="K1104" s="655">
        <v>2</v>
      </c>
      <c r="L1104" s="656" t="s">
        <v>52</v>
      </c>
      <c r="M1104" s="656" t="s">
        <v>71</v>
      </c>
      <c r="N1104" s="656" t="s">
        <v>72</v>
      </c>
      <c r="O1104" s="656" t="s">
        <v>72</v>
      </c>
      <c r="P1104" s="656" t="s">
        <v>1176</v>
      </c>
      <c r="Q1104" s="657">
        <v>0</v>
      </c>
      <c r="R1104" s="657">
        <v>0</v>
      </c>
      <c r="S1104" s="657">
        <v>1338653</v>
      </c>
      <c r="T1104" s="657">
        <v>1338653</v>
      </c>
      <c r="U1104" s="657">
        <v>151380</v>
      </c>
      <c r="V1104" s="655">
        <v>2021</v>
      </c>
      <c r="W1104" s="659"/>
      <c r="X1104" s="660">
        <f t="shared" si="53"/>
        <v>8.8429977539965652</v>
      </c>
      <c r="Y1104" s="661" t="str">
        <f t="shared" si="51"/>
        <v/>
      </c>
      <c r="Z1104" s="661" t="str">
        <f t="shared" si="52"/>
        <v/>
      </c>
    </row>
    <row r="1105" spans="1:26" s="128" customFormat="1" ht="25" hidden="1">
      <c r="A1105" s="655">
        <v>56619</v>
      </c>
      <c r="B1105" s="656" t="s">
        <v>33</v>
      </c>
      <c r="C1105" s="655" t="s">
        <v>2793</v>
      </c>
      <c r="D1105" s="656" t="s">
        <v>3123</v>
      </c>
      <c r="E1105" s="656" t="s">
        <v>3122</v>
      </c>
      <c r="F1105" s="655">
        <v>63858</v>
      </c>
      <c r="G1105" s="656" t="s">
        <v>57</v>
      </c>
      <c r="H1105" s="656" t="s">
        <v>1182</v>
      </c>
      <c r="I1105" s="656" t="s">
        <v>58</v>
      </c>
      <c r="J1105" s="655">
        <v>22</v>
      </c>
      <c r="K1105" s="655">
        <v>2</v>
      </c>
      <c r="L1105" s="656" t="s">
        <v>52</v>
      </c>
      <c r="M1105" s="656" t="s">
        <v>71</v>
      </c>
      <c r="N1105" s="656" t="s">
        <v>72</v>
      </c>
      <c r="O1105" s="656" t="s">
        <v>72</v>
      </c>
      <c r="P1105" s="656" t="s">
        <v>1176</v>
      </c>
      <c r="Q1105" s="657">
        <v>0</v>
      </c>
      <c r="R1105" s="657">
        <v>0</v>
      </c>
      <c r="S1105" s="657">
        <v>1254962</v>
      </c>
      <c r="T1105" s="657">
        <v>1254962</v>
      </c>
      <c r="U1105" s="657">
        <v>141916</v>
      </c>
      <c r="V1105" s="655">
        <v>2021</v>
      </c>
      <c r="W1105" s="659"/>
      <c r="X1105" s="660">
        <f t="shared" si="53"/>
        <v>8.8429916288508696</v>
      </c>
      <c r="Y1105" s="661" t="str">
        <f t="shared" si="51"/>
        <v/>
      </c>
      <c r="Z1105" s="661" t="str">
        <f t="shared" si="52"/>
        <v/>
      </c>
    </row>
    <row r="1106" spans="1:26" s="128" customFormat="1" ht="25" hidden="1">
      <c r="A1106" s="655">
        <v>56620</v>
      </c>
      <c r="B1106" s="656" t="s">
        <v>33</v>
      </c>
      <c r="C1106" s="655" t="s">
        <v>2793</v>
      </c>
      <c r="D1106" s="656" t="s">
        <v>3124</v>
      </c>
      <c r="E1106" s="656" t="s">
        <v>3122</v>
      </c>
      <c r="F1106" s="655">
        <v>63858</v>
      </c>
      <c r="G1106" s="656" t="s">
        <v>57</v>
      </c>
      <c r="H1106" s="656" t="s">
        <v>1182</v>
      </c>
      <c r="I1106" s="656" t="s">
        <v>58</v>
      </c>
      <c r="J1106" s="655">
        <v>22</v>
      </c>
      <c r="K1106" s="655">
        <v>2</v>
      </c>
      <c r="L1106" s="656" t="s">
        <v>52</v>
      </c>
      <c r="M1106" s="656" t="s">
        <v>71</v>
      </c>
      <c r="N1106" s="656" t="s">
        <v>72</v>
      </c>
      <c r="O1106" s="656" t="s">
        <v>72</v>
      </c>
      <c r="P1106" s="656" t="s">
        <v>1176</v>
      </c>
      <c r="Q1106" s="657">
        <v>0</v>
      </c>
      <c r="R1106" s="657">
        <v>0</v>
      </c>
      <c r="S1106" s="657">
        <v>1551919</v>
      </c>
      <c r="T1106" s="657">
        <v>1551919</v>
      </c>
      <c r="U1106" s="657">
        <v>175497</v>
      </c>
      <c r="V1106" s="655">
        <v>2021</v>
      </c>
      <c r="W1106" s="659"/>
      <c r="X1106" s="660">
        <f t="shared" si="53"/>
        <v>8.8429944671418887</v>
      </c>
      <c r="Y1106" s="661" t="str">
        <f t="shared" si="51"/>
        <v/>
      </c>
      <c r="Z1106" s="661" t="str">
        <f t="shared" si="52"/>
        <v/>
      </c>
    </row>
    <row r="1107" spans="1:26" s="128" customFormat="1" hidden="1">
      <c r="A1107" s="655">
        <v>56629</v>
      </c>
      <c r="B1107" s="656" t="s">
        <v>33</v>
      </c>
      <c r="C1107" s="655" t="s">
        <v>2793</v>
      </c>
      <c r="D1107" s="656" t="s">
        <v>461</v>
      </c>
      <c r="E1107" s="656" t="s">
        <v>2132</v>
      </c>
      <c r="F1107" s="655">
        <v>56201</v>
      </c>
      <c r="G1107" s="656" t="s">
        <v>41</v>
      </c>
      <c r="H1107" s="656" t="s">
        <v>1183</v>
      </c>
      <c r="I1107" s="656" t="s">
        <v>58</v>
      </c>
      <c r="J1107" s="655">
        <v>22</v>
      </c>
      <c r="K1107" s="655">
        <v>2</v>
      </c>
      <c r="L1107" s="656" t="s">
        <v>52</v>
      </c>
      <c r="M1107" s="656" t="s">
        <v>50</v>
      </c>
      <c r="N1107" s="656" t="s">
        <v>46</v>
      </c>
      <c r="O1107" s="656" t="s">
        <v>46</v>
      </c>
      <c r="P1107" s="656" t="s">
        <v>47</v>
      </c>
      <c r="Q1107" s="657">
        <v>0</v>
      </c>
      <c r="R1107" s="657">
        <v>0</v>
      </c>
      <c r="S1107" s="657">
        <v>0</v>
      </c>
      <c r="T1107" s="657">
        <v>0</v>
      </c>
      <c r="U1107" s="657">
        <v>0</v>
      </c>
      <c r="V1107" s="655">
        <v>2021</v>
      </c>
      <c r="W1107" s="659" t="s">
        <v>3675</v>
      </c>
      <c r="X1107" s="660" t="str">
        <f t="shared" si="53"/>
        <v/>
      </c>
      <c r="Y1107" s="661" t="str">
        <f t="shared" si="51"/>
        <v/>
      </c>
      <c r="Z1107" s="661" t="str">
        <f t="shared" si="52"/>
        <v/>
      </c>
    </row>
    <row r="1108" spans="1:26" s="128" customFormat="1" hidden="1">
      <c r="A1108" s="655">
        <v>56629</v>
      </c>
      <c r="B1108" s="656" t="s">
        <v>33</v>
      </c>
      <c r="C1108" s="655" t="s">
        <v>2793</v>
      </c>
      <c r="D1108" s="656" t="s">
        <v>461</v>
      </c>
      <c r="E1108" s="656" t="s">
        <v>2132</v>
      </c>
      <c r="F1108" s="655">
        <v>56201</v>
      </c>
      <c r="G1108" s="656" t="s">
        <v>41</v>
      </c>
      <c r="H1108" s="656" t="s">
        <v>1183</v>
      </c>
      <c r="I1108" s="656" t="s">
        <v>58</v>
      </c>
      <c r="J1108" s="655">
        <v>22</v>
      </c>
      <c r="K1108" s="655">
        <v>2</v>
      </c>
      <c r="L1108" s="656" t="s">
        <v>52</v>
      </c>
      <c r="M1108" s="656" t="s">
        <v>50</v>
      </c>
      <c r="N1108" s="656" t="s">
        <v>76</v>
      </c>
      <c r="O1108" s="656" t="s">
        <v>67</v>
      </c>
      <c r="P1108" s="656" t="s">
        <v>47</v>
      </c>
      <c r="Q1108" s="657">
        <v>0</v>
      </c>
      <c r="R1108" s="657">
        <v>0</v>
      </c>
      <c r="S1108" s="657">
        <v>0</v>
      </c>
      <c r="T1108" s="657">
        <v>0</v>
      </c>
      <c r="U1108" s="657">
        <v>0</v>
      </c>
      <c r="V1108" s="655">
        <v>2021</v>
      </c>
      <c r="W1108" s="659" t="s">
        <v>3675</v>
      </c>
      <c r="X1108" s="660" t="str">
        <f t="shared" si="53"/>
        <v/>
      </c>
      <c r="Y1108" s="661" t="str">
        <f t="shared" si="51"/>
        <v/>
      </c>
      <c r="Z1108" s="661" t="str">
        <f t="shared" si="52"/>
        <v/>
      </c>
    </row>
    <row r="1109" spans="1:26" s="128" customFormat="1" hidden="1">
      <c r="A1109" s="655">
        <v>56629</v>
      </c>
      <c r="B1109" s="656" t="s">
        <v>33</v>
      </c>
      <c r="C1109" s="655" t="s">
        <v>2793</v>
      </c>
      <c r="D1109" s="656" t="s">
        <v>461</v>
      </c>
      <c r="E1109" s="656" t="s">
        <v>2132</v>
      </c>
      <c r="F1109" s="655">
        <v>56201</v>
      </c>
      <c r="G1109" s="656" t="s">
        <v>41</v>
      </c>
      <c r="H1109" s="656" t="s">
        <v>1183</v>
      </c>
      <c r="I1109" s="656" t="s">
        <v>58</v>
      </c>
      <c r="J1109" s="655">
        <v>22</v>
      </c>
      <c r="K1109" s="655">
        <v>2</v>
      </c>
      <c r="L1109" s="656" t="s">
        <v>52</v>
      </c>
      <c r="M1109" s="656" t="s">
        <v>50</v>
      </c>
      <c r="N1109" s="656" t="s">
        <v>39</v>
      </c>
      <c r="O1109" s="656" t="s">
        <v>39</v>
      </c>
      <c r="P1109" s="656" t="s">
        <v>1037</v>
      </c>
      <c r="Q1109" s="657">
        <v>75426</v>
      </c>
      <c r="R1109" s="657">
        <v>75426</v>
      </c>
      <c r="S1109" s="657">
        <v>75426</v>
      </c>
      <c r="T1109" s="657">
        <v>75426</v>
      </c>
      <c r="U1109" s="657">
        <v>7080</v>
      </c>
      <c r="V1109" s="655">
        <v>2021</v>
      </c>
      <c r="W1109" s="659" t="s">
        <v>3675</v>
      </c>
      <c r="X1109" s="660">
        <f t="shared" si="53"/>
        <v>10.653389830508475</v>
      </c>
      <c r="Y1109" s="661" t="str">
        <f t="shared" si="51"/>
        <v/>
      </c>
      <c r="Z1109" s="661" t="str">
        <f t="shared" si="52"/>
        <v/>
      </c>
    </row>
    <row r="1110" spans="1:26" s="128" customFormat="1" hidden="1">
      <c r="A1110" s="655">
        <v>56633</v>
      </c>
      <c r="B1110" s="656" t="s">
        <v>33</v>
      </c>
      <c r="C1110" s="655" t="s">
        <v>2793</v>
      </c>
      <c r="D1110" s="656" t="s">
        <v>1065</v>
      </c>
      <c r="E1110" s="656" t="s">
        <v>3120</v>
      </c>
      <c r="F1110" s="655">
        <v>59155</v>
      </c>
      <c r="G1110" s="656" t="s">
        <v>57</v>
      </c>
      <c r="H1110" s="656" t="s">
        <v>1182</v>
      </c>
      <c r="I1110" s="656" t="s">
        <v>58</v>
      </c>
      <c r="J1110" s="655">
        <v>22</v>
      </c>
      <c r="K1110" s="655">
        <v>2</v>
      </c>
      <c r="L1110" s="656" t="s">
        <v>52</v>
      </c>
      <c r="M1110" s="656" t="s">
        <v>71</v>
      </c>
      <c r="N1110" s="656" t="s">
        <v>72</v>
      </c>
      <c r="O1110" s="656" t="s">
        <v>72</v>
      </c>
      <c r="P1110" s="656" t="s">
        <v>1176</v>
      </c>
      <c r="Q1110" s="657">
        <v>0</v>
      </c>
      <c r="R1110" s="657">
        <v>0</v>
      </c>
      <c r="S1110" s="657">
        <v>445102</v>
      </c>
      <c r="T1110" s="657">
        <v>445102</v>
      </c>
      <c r="U1110" s="657">
        <v>50334</v>
      </c>
      <c r="V1110" s="655">
        <v>2021</v>
      </c>
      <c r="W1110" s="659"/>
      <c r="X1110" s="660">
        <f t="shared" si="53"/>
        <v>8.8429689672984466</v>
      </c>
      <c r="Y1110" s="661" t="str">
        <f t="shared" si="51"/>
        <v/>
      </c>
      <c r="Z1110" s="661" t="str">
        <f t="shared" si="52"/>
        <v/>
      </c>
    </row>
    <row r="1111" spans="1:26" s="128" customFormat="1" hidden="1">
      <c r="A1111" s="655">
        <v>56634</v>
      </c>
      <c r="B1111" s="656" t="s">
        <v>33</v>
      </c>
      <c r="C1111" s="655" t="s">
        <v>2793</v>
      </c>
      <c r="D1111" s="656" t="s">
        <v>1066</v>
      </c>
      <c r="E1111" s="656" t="s">
        <v>3120</v>
      </c>
      <c r="F1111" s="655">
        <v>59155</v>
      </c>
      <c r="G1111" s="656" t="s">
        <v>57</v>
      </c>
      <c r="H1111" s="656" t="s">
        <v>1182</v>
      </c>
      <c r="I1111" s="656" t="s">
        <v>58</v>
      </c>
      <c r="J1111" s="655">
        <v>22</v>
      </c>
      <c r="K1111" s="655">
        <v>2</v>
      </c>
      <c r="L1111" s="656" t="s">
        <v>52</v>
      </c>
      <c r="M1111" s="656" t="s">
        <v>71</v>
      </c>
      <c r="N1111" s="656" t="s">
        <v>72</v>
      </c>
      <c r="O1111" s="656" t="s">
        <v>72</v>
      </c>
      <c r="P1111" s="656" t="s">
        <v>1176</v>
      </c>
      <c r="Q1111" s="657">
        <v>0</v>
      </c>
      <c r="R1111" s="657">
        <v>0</v>
      </c>
      <c r="S1111" s="657">
        <v>1038575</v>
      </c>
      <c r="T1111" s="657">
        <v>1038575</v>
      </c>
      <c r="U1111" s="657">
        <v>117446</v>
      </c>
      <c r="V1111" s="655">
        <v>2021</v>
      </c>
      <c r="W1111" s="659"/>
      <c r="X1111" s="660">
        <f t="shared" si="53"/>
        <v>8.8430001873201309</v>
      </c>
      <c r="Y1111" s="661" t="str">
        <f t="shared" si="51"/>
        <v/>
      </c>
      <c r="Z1111" s="661" t="str">
        <f t="shared" si="52"/>
        <v/>
      </c>
    </row>
    <row r="1112" spans="1:26" s="128" customFormat="1" hidden="1">
      <c r="A1112" s="655">
        <v>56703</v>
      </c>
      <c r="B1112" s="656" t="s">
        <v>33</v>
      </c>
      <c r="C1112" s="655" t="s">
        <v>2793</v>
      </c>
      <c r="D1112" s="656" t="s">
        <v>1067</v>
      </c>
      <c r="E1112" s="656" t="s">
        <v>1023</v>
      </c>
      <c r="F1112" s="655">
        <v>55941</v>
      </c>
      <c r="G1112" s="656" t="s">
        <v>57</v>
      </c>
      <c r="H1112" s="656" t="s">
        <v>1182</v>
      </c>
      <c r="I1112" s="656" t="s">
        <v>58</v>
      </c>
      <c r="J1112" s="655">
        <v>22</v>
      </c>
      <c r="K1112" s="655">
        <v>2</v>
      </c>
      <c r="L1112" s="656" t="s">
        <v>52</v>
      </c>
      <c r="M1112" s="656" t="s">
        <v>35</v>
      </c>
      <c r="N1112" s="656" t="s">
        <v>36</v>
      </c>
      <c r="O1112" s="656" t="s">
        <v>37</v>
      </c>
      <c r="P1112" s="656" t="s">
        <v>1176</v>
      </c>
      <c r="Q1112" s="657">
        <v>0</v>
      </c>
      <c r="R1112" s="657">
        <v>0</v>
      </c>
      <c r="S1112" s="657">
        <v>214444</v>
      </c>
      <c r="T1112" s="657">
        <v>214444</v>
      </c>
      <c r="U1112" s="657">
        <v>24250</v>
      </c>
      <c r="V1112" s="655">
        <v>2021</v>
      </c>
      <c r="W1112" s="659"/>
      <c r="X1112" s="660">
        <f t="shared" si="53"/>
        <v>8.8430515463917523</v>
      </c>
      <c r="Y1112" s="661" t="str">
        <f t="shared" si="51"/>
        <v/>
      </c>
      <c r="Z1112" s="661" t="str">
        <f t="shared" si="52"/>
        <v/>
      </c>
    </row>
    <row r="1113" spans="1:26" s="128" customFormat="1" hidden="1">
      <c r="A1113" s="655">
        <v>56704</v>
      </c>
      <c r="B1113" s="656" t="s">
        <v>33</v>
      </c>
      <c r="C1113" s="655" t="s">
        <v>2793</v>
      </c>
      <c r="D1113" s="656" t="s">
        <v>1024</v>
      </c>
      <c r="E1113" s="656" t="s">
        <v>1023</v>
      </c>
      <c r="F1113" s="655">
        <v>55941</v>
      </c>
      <c r="G1113" s="656" t="s">
        <v>57</v>
      </c>
      <c r="H1113" s="656" t="s">
        <v>1182</v>
      </c>
      <c r="I1113" s="656" t="s">
        <v>58</v>
      </c>
      <c r="J1113" s="655">
        <v>22</v>
      </c>
      <c r="K1113" s="655">
        <v>2</v>
      </c>
      <c r="L1113" s="656" t="s">
        <v>52</v>
      </c>
      <c r="M1113" s="656" t="s">
        <v>35</v>
      </c>
      <c r="N1113" s="656" t="s">
        <v>36</v>
      </c>
      <c r="O1113" s="656" t="s">
        <v>37</v>
      </c>
      <c r="P1113" s="656" t="s">
        <v>1176</v>
      </c>
      <c r="Q1113" s="657">
        <v>0</v>
      </c>
      <c r="R1113" s="657">
        <v>0</v>
      </c>
      <c r="S1113" s="657">
        <v>61052</v>
      </c>
      <c r="T1113" s="657">
        <v>61052</v>
      </c>
      <c r="U1113" s="657">
        <v>6904</v>
      </c>
      <c r="V1113" s="655">
        <v>2021</v>
      </c>
      <c r="W1113" s="659"/>
      <c r="X1113" s="660">
        <f t="shared" si="53"/>
        <v>8.8429895712630362</v>
      </c>
      <c r="Y1113" s="661" t="str">
        <f t="shared" si="51"/>
        <v/>
      </c>
      <c r="Z1113" s="661" t="str">
        <f t="shared" si="52"/>
        <v/>
      </c>
    </row>
    <row r="1114" spans="1:26" s="128" customFormat="1" hidden="1">
      <c r="A1114" s="655">
        <v>56705</v>
      </c>
      <c r="B1114" s="656" t="s">
        <v>33</v>
      </c>
      <c r="C1114" s="655" t="s">
        <v>2793</v>
      </c>
      <c r="D1114" s="656" t="s">
        <v>1025</v>
      </c>
      <c r="E1114" s="656" t="s">
        <v>1023</v>
      </c>
      <c r="F1114" s="655">
        <v>55941</v>
      </c>
      <c r="G1114" s="656" t="s">
        <v>57</v>
      </c>
      <c r="H1114" s="656" t="s">
        <v>1182</v>
      </c>
      <c r="I1114" s="656" t="s">
        <v>58</v>
      </c>
      <c r="J1114" s="655">
        <v>22</v>
      </c>
      <c r="K1114" s="655">
        <v>2</v>
      </c>
      <c r="L1114" s="656" t="s">
        <v>52</v>
      </c>
      <c r="M1114" s="656" t="s">
        <v>35</v>
      </c>
      <c r="N1114" s="656" t="s">
        <v>36</v>
      </c>
      <c r="O1114" s="656" t="s">
        <v>37</v>
      </c>
      <c r="P1114" s="656" t="s">
        <v>1176</v>
      </c>
      <c r="Q1114" s="657">
        <v>0</v>
      </c>
      <c r="R1114" s="657">
        <v>0</v>
      </c>
      <c r="S1114" s="657">
        <v>25114</v>
      </c>
      <c r="T1114" s="657">
        <v>25114</v>
      </c>
      <c r="U1114" s="657">
        <v>2840</v>
      </c>
      <c r="V1114" s="655">
        <v>2021</v>
      </c>
      <c r="W1114" s="659"/>
      <c r="X1114" s="660">
        <f t="shared" si="53"/>
        <v>8.8429577464788736</v>
      </c>
      <c r="Y1114" s="661" t="str">
        <f t="shared" si="51"/>
        <v/>
      </c>
      <c r="Z1114" s="661" t="str">
        <f t="shared" si="52"/>
        <v/>
      </c>
    </row>
    <row r="1115" spans="1:26" s="128" customFormat="1" ht="25" hidden="1">
      <c r="A1115" s="655">
        <v>56798</v>
      </c>
      <c r="B1115" s="656" t="s">
        <v>33</v>
      </c>
      <c r="C1115" s="655" t="s">
        <v>2793</v>
      </c>
      <c r="D1115" s="656" t="s">
        <v>1091</v>
      </c>
      <c r="E1115" s="656" t="s">
        <v>1122</v>
      </c>
      <c r="F1115" s="655">
        <v>55993</v>
      </c>
      <c r="G1115" s="656" t="s">
        <v>41</v>
      </c>
      <c r="H1115" s="656" t="s">
        <v>1183</v>
      </c>
      <c r="I1115" s="656" t="s">
        <v>58</v>
      </c>
      <c r="J1115" s="655">
        <v>22</v>
      </c>
      <c r="K1115" s="655">
        <v>2</v>
      </c>
      <c r="L1115" s="656" t="s">
        <v>52</v>
      </c>
      <c r="M1115" s="656" t="s">
        <v>38</v>
      </c>
      <c r="N1115" s="656" t="s">
        <v>46</v>
      </c>
      <c r="O1115" s="656" t="s">
        <v>46</v>
      </c>
      <c r="P1115" s="656" t="s">
        <v>47</v>
      </c>
      <c r="Q1115" s="657">
        <v>0</v>
      </c>
      <c r="R1115" s="657">
        <v>0</v>
      </c>
      <c r="S1115" s="657">
        <v>0</v>
      </c>
      <c r="T1115" s="657">
        <v>0</v>
      </c>
      <c r="U1115" s="657">
        <v>2316.1460000000002</v>
      </c>
      <c r="V1115" s="655">
        <v>2021</v>
      </c>
      <c r="W1115" s="659" t="s">
        <v>3675</v>
      </c>
      <c r="X1115" s="660" t="str">
        <f t="shared" si="53"/>
        <v/>
      </c>
      <c r="Y1115" s="661" t="str">
        <f t="shared" si="51"/>
        <v/>
      </c>
      <c r="Z1115" s="661" t="str">
        <f t="shared" si="52"/>
        <v/>
      </c>
    </row>
    <row r="1116" spans="1:26" s="128" customFormat="1" ht="25" hidden="1">
      <c r="A1116" s="655">
        <v>56798</v>
      </c>
      <c r="B1116" s="656" t="s">
        <v>33</v>
      </c>
      <c r="C1116" s="655" t="s">
        <v>2793</v>
      </c>
      <c r="D1116" s="656" t="s">
        <v>1091</v>
      </c>
      <c r="E1116" s="656" t="s">
        <v>1122</v>
      </c>
      <c r="F1116" s="655">
        <v>55993</v>
      </c>
      <c r="G1116" s="656" t="s">
        <v>41</v>
      </c>
      <c r="H1116" s="656" t="s">
        <v>1183</v>
      </c>
      <c r="I1116" s="656" t="s">
        <v>58</v>
      </c>
      <c r="J1116" s="655">
        <v>22</v>
      </c>
      <c r="K1116" s="655">
        <v>2</v>
      </c>
      <c r="L1116" s="656" t="s">
        <v>52</v>
      </c>
      <c r="M1116" s="656" t="s">
        <v>38</v>
      </c>
      <c r="N1116" s="656" t="s">
        <v>39</v>
      </c>
      <c r="O1116" s="656" t="s">
        <v>39</v>
      </c>
      <c r="P1116" s="656" t="s">
        <v>1037</v>
      </c>
      <c r="Q1116" s="657">
        <v>568055</v>
      </c>
      <c r="R1116" s="657">
        <v>568055</v>
      </c>
      <c r="S1116" s="657">
        <v>583058</v>
      </c>
      <c r="T1116" s="657">
        <v>583058</v>
      </c>
      <c r="U1116" s="657">
        <v>922814.85</v>
      </c>
      <c r="V1116" s="655">
        <v>2021</v>
      </c>
      <c r="W1116" s="659" t="s">
        <v>3675</v>
      </c>
      <c r="X1116" s="660">
        <f t="shared" si="53"/>
        <v>0.63182554983808514</v>
      </c>
      <c r="Y1116" s="661" t="str">
        <f t="shared" si="51"/>
        <v/>
      </c>
      <c r="Z1116" s="661" t="str">
        <f t="shared" si="52"/>
        <v/>
      </c>
    </row>
    <row r="1117" spans="1:26" s="128" customFormat="1" ht="25" hidden="1">
      <c r="A1117" s="655">
        <v>56798</v>
      </c>
      <c r="B1117" s="656" t="s">
        <v>33</v>
      </c>
      <c r="C1117" s="655" t="s">
        <v>2793</v>
      </c>
      <c r="D1117" s="656" t="s">
        <v>1091</v>
      </c>
      <c r="E1117" s="656" t="s">
        <v>1122</v>
      </c>
      <c r="F1117" s="655">
        <v>55993</v>
      </c>
      <c r="G1117" s="656" t="s">
        <v>41</v>
      </c>
      <c r="H1117" s="656" t="s">
        <v>1183</v>
      </c>
      <c r="I1117" s="656" t="s">
        <v>58</v>
      </c>
      <c r="J1117" s="655">
        <v>22</v>
      </c>
      <c r="K1117" s="655">
        <v>2</v>
      </c>
      <c r="L1117" s="656" t="s">
        <v>52</v>
      </c>
      <c r="M1117" s="656" t="s">
        <v>41</v>
      </c>
      <c r="N1117" s="656" t="s">
        <v>46</v>
      </c>
      <c r="O1117" s="656" t="s">
        <v>46</v>
      </c>
      <c r="P1117" s="656" t="s">
        <v>47</v>
      </c>
      <c r="Q1117" s="657">
        <v>7760</v>
      </c>
      <c r="R1117" s="657">
        <v>7760</v>
      </c>
      <c r="S1117" s="657">
        <v>45293</v>
      </c>
      <c r="T1117" s="657">
        <v>45293</v>
      </c>
      <c r="U1117" s="657">
        <v>3701.25</v>
      </c>
      <c r="V1117" s="655">
        <v>2021</v>
      </c>
      <c r="W1117" s="659" t="s">
        <v>3675</v>
      </c>
      <c r="X1117" s="660">
        <f t="shared" si="53"/>
        <v>12.237217156366093</v>
      </c>
      <c r="Y1117" s="661" t="str">
        <f t="shared" si="51"/>
        <v/>
      </c>
      <c r="Z1117" s="661" t="str">
        <f t="shared" si="52"/>
        <v/>
      </c>
    </row>
    <row r="1118" spans="1:26" s="128" customFormat="1" ht="25" hidden="1">
      <c r="A1118" s="655">
        <v>56798</v>
      </c>
      <c r="B1118" s="656" t="s">
        <v>33</v>
      </c>
      <c r="C1118" s="655" t="s">
        <v>2793</v>
      </c>
      <c r="D1118" s="656" t="s">
        <v>1091</v>
      </c>
      <c r="E1118" s="656" t="s">
        <v>1122</v>
      </c>
      <c r="F1118" s="655">
        <v>55993</v>
      </c>
      <c r="G1118" s="656" t="s">
        <v>41</v>
      </c>
      <c r="H1118" s="656" t="s">
        <v>1183</v>
      </c>
      <c r="I1118" s="656" t="s">
        <v>58</v>
      </c>
      <c r="J1118" s="655">
        <v>22</v>
      </c>
      <c r="K1118" s="655">
        <v>2</v>
      </c>
      <c r="L1118" s="656" t="s">
        <v>52</v>
      </c>
      <c r="M1118" s="656" t="s">
        <v>41</v>
      </c>
      <c r="N1118" s="656" t="s">
        <v>39</v>
      </c>
      <c r="O1118" s="656" t="s">
        <v>39</v>
      </c>
      <c r="P1118" s="656" t="s">
        <v>1037</v>
      </c>
      <c r="Q1118" s="657">
        <v>16267134</v>
      </c>
      <c r="R1118" s="657">
        <v>16267134</v>
      </c>
      <c r="S1118" s="657">
        <v>16699789</v>
      </c>
      <c r="T1118" s="657">
        <v>16699789</v>
      </c>
      <c r="U1118" s="657">
        <v>1489439.8</v>
      </c>
      <c r="V1118" s="655">
        <v>2021</v>
      </c>
      <c r="W1118" s="659" t="s">
        <v>3675</v>
      </c>
      <c r="X1118" s="660">
        <f t="shared" si="53"/>
        <v>11.21212753949505</v>
      </c>
      <c r="Y1118" s="661" t="str">
        <f t="shared" si="51"/>
        <v/>
      </c>
      <c r="Z1118" s="661" t="str">
        <f t="shared" si="52"/>
        <v/>
      </c>
    </row>
    <row r="1119" spans="1:26" s="128" customFormat="1">
      <c r="A1119" s="655">
        <v>56800</v>
      </c>
      <c r="B1119" s="656" t="s">
        <v>33</v>
      </c>
      <c r="C1119" s="655" t="s">
        <v>2793</v>
      </c>
      <c r="D1119" s="656" t="s">
        <v>1026</v>
      </c>
      <c r="E1119" s="656" t="s">
        <v>1027</v>
      </c>
      <c r="F1119" s="655">
        <v>8797</v>
      </c>
      <c r="G1119" s="656" t="s">
        <v>81</v>
      </c>
      <c r="H1119" s="656" t="s">
        <v>1183</v>
      </c>
      <c r="I1119" s="656" t="s">
        <v>58</v>
      </c>
      <c r="J1119" s="655">
        <v>22</v>
      </c>
      <c r="K1119" s="655">
        <v>1</v>
      </c>
      <c r="L1119" s="656" t="s">
        <v>34</v>
      </c>
      <c r="M1119" s="656" t="s">
        <v>71</v>
      </c>
      <c r="N1119" s="656" t="s">
        <v>72</v>
      </c>
      <c r="O1119" s="656" t="s">
        <v>72</v>
      </c>
      <c r="P1119" s="656" t="s">
        <v>1176</v>
      </c>
      <c r="Q1119" s="657">
        <v>0</v>
      </c>
      <c r="R1119" s="657">
        <v>0</v>
      </c>
      <c r="S1119" s="657">
        <v>19474</v>
      </c>
      <c r="T1119" s="657">
        <v>19474</v>
      </c>
      <c r="U1119" s="657">
        <v>2202</v>
      </c>
      <c r="V1119" s="655">
        <v>2021</v>
      </c>
      <c r="W1119" s="659"/>
      <c r="X1119" s="660">
        <f t="shared" si="53"/>
        <v>8.8437783832879209</v>
      </c>
      <c r="Y1119" s="661" t="str">
        <f t="shared" si="51"/>
        <v/>
      </c>
      <c r="Z1119" s="661" t="str">
        <f t="shared" si="52"/>
        <v/>
      </c>
    </row>
    <row r="1120" spans="1:26" s="128" customFormat="1" ht="25" hidden="1">
      <c r="A1120" s="655">
        <v>56829</v>
      </c>
      <c r="B1120" s="656" t="s">
        <v>33</v>
      </c>
      <c r="C1120" s="655" t="s">
        <v>2793</v>
      </c>
      <c r="D1120" s="656" t="s">
        <v>2133</v>
      </c>
      <c r="E1120" s="656" t="s">
        <v>2134</v>
      </c>
      <c r="F1120" s="655">
        <v>61191</v>
      </c>
      <c r="G1120" s="656" t="s">
        <v>90</v>
      </c>
      <c r="H1120" s="656" t="s">
        <v>1183</v>
      </c>
      <c r="I1120" s="656" t="s">
        <v>58</v>
      </c>
      <c r="J1120" s="655">
        <v>22</v>
      </c>
      <c r="K1120" s="655">
        <v>2</v>
      </c>
      <c r="L1120" s="656" t="s">
        <v>52</v>
      </c>
      <c r="M1120" s="656" t="s">
        <v>71</v>
      </c>
      <c r="N1120" s="656" t="s">
        <v>72</v>
      </c>
      <c r="O1120" s="656" t="s">
        <v>72</v>
      </c>
      <c r="P1120" s="656" t="s">
        <v>1176</v>
      </c>
      <c r="Q1120" s="657">
        <v>0</v>
      </c>
      <c r="R1120" s="657">
        <v>0</v>
      </c>
      <c r="S1120" s="657">
        <v>2707082</v>
      </c>
      <c r="T1120" s="657">
        <v>2707082</v>
      </c>
      <c r="U1120" s="657">
        <v>306127</v>
      </c>
      <c r="V1120" s="655">
        <v>2021</v>
      </c>
      <c r="W1120" s="659"/>
      <c r="X1120" s="660">
        <f t="shared" si="53"/>
        <v>8.8430030673543989</v>
      </c>
      <c r="Y1120" s="661" t="str">
        <f t="shared" si="51"/>
        <v/>
      </c>
      <c r="Z1120" s="661" t="str">
        <f t="shared" si="52"/>
        <v/>
      </c>
    </row>
    <row r="1121" spans="1:26" s="128" customFormat="1" ht="25" hidden="1">
      <c r="A1121" s="655">
        <v>56847</v>
      </c>
      <c r="B1121" s="656" t="s">
        <v>33</v>
      </c>
      <c r="C1121" s="655" t="s">
        <v>2793</v>
      </c>
      <c r="D1121" s="656" t="s">
        <v>1693</v>
      </c>
      <c r="E1121" s="656" t="s">
        <v>1694</v>
      </c>
      <c r="F1121" s="655">
        <v>56067</v>
      </c>
      <c r="G1121" s="656" t="s">
        <v>41</v>
      </c>
      <c r="H1121" s="656" t="s">
        <v>1183</v>
      </c>
      <c r="I1121" s="656" t="s">
        <v>58</v>
      </c>
      <c r="J1121" s="655">
        <v>22</v>
      </c>
      <c r="K1121" s="655">
        <v>2</v>
      </c>
      <c r="L1121" s="656" t="s">
        <v>52</v>
      </c>
      <c r="M1121" s="656" t="s">
        <v>42</v>
      </c>
      <c r="N1121" s="656" t="s">
        <v>424</v>
      </c>
      <c r="O1121" s="656" t="s">
        <v>49</v>
      </c>
      <c r="P1121" s="656" t="s">
        <v>47</v>
      </c>
      <c r="Q1121" s="657">
        <v>1206</v>
      </c>
      <c r="R1121" s="657">
        <v>1206</v>
      </c>
      <c r="S1121" s="657">
        <v>6151</v>
      </c>
      <c r="T1121" s="657">
        <v>6151</v>
      </c>
      <c r="U1121" s="657">
        <v>526.82100000000003</v>
      </c>
      <c r="V1121" s="655">
        <v>2021</v>
      </c>
      <c r="W1121" s="659"/>
      <c r="X1121" s="660">
        <f t="shared" si="53"/>
        <v>11.675692502766594</v>
      </c>
      <c r="Y1121" s="661" t="str">
        <f t="shared" si="51"/>
        <v/>
      </c>
      <c r="Z1121" s="661" t="str">
        <f t="shared" si="52"/>
        <v/>
      </c>
    </row>
    <row r="1122" spans="1:26" s="128" customFormat="1" ht="25" hidden="1">
      <c r="A1122" s="655">
        <v>56847</v>
      </c>
      <c r="B1122" s="656" t="s">
        <v>33</v>
      </c>
      <c r="C1122" s="655" t="s">
        <v>2793</v>
      </c>
      <c r="D1122" s="656" t="s">
        <v>1693</v>
      </c>
      <c r="E1122" s="656" t="s">
        <v>1694</v>
      </c>
      <c r="F1122" s="655">
        <v>56067</v>
      </c>
      <c r="G1122" s="656" t="s">
        <v>41</v>
      </c>
      <c r="H1122" s="656" t="s">
        <v>1183</v>
      </c>
      <c r="I1122" s="656" t="s">
        <v>58</v>
      </c>
      <c r="J1122" s="655">
        <v>22</v>
      </c>
      <c r="K1122" s="655">
        <v>2</v>
      </c>
      <c r="L1122" s="656" t="s">
        <v>52</v>
      </c>
      <c r="M1122" s="656" t="s">
        <v>42</v>
      </c>
      <c r="N1122" s="656" t="s">
        <v>69</v>
      </c>
      <c r="O1122" s="656" t="s">
        <v>70</v>
      </c>
      <c r="P1122" s="656" t="s">
        <v>45</v>
      </c>
      <c r="Q1122" s="657">
        <v>366047</v>
      </c>
      <c r="R1122" s="657">
        <v>366047</v>
      </c>
      <c r="S1122" s="657">
        <v>3367631</v>
      </c>
      <c r="T1122" s="657">
        <v>3367631</v>
      </c>
      <c r="U1122" s="657">
        <v>282855.18</v>
      </c>
      <c r="V1122" s="655">
        <v>2021</v>
      </c>
      <c r="W1122" s="659"/>
      <c r="X1122" s="660">
        <f t="shared" si="53"/>
        <v>11.905848780991036</v>
      </c>
      <c r="Y1122" s="661" t="str">
        <f t="shared" si="51"/>
        <v/>
      </c>
      <c r="Z1122" s="661" t="str">
        <f t="shared" si="52"/>
        <v/>
      </c>
    </row>
    <row r="1123" spans="1:26" s="128" customFormat="1" hidden="1">
      <c r="A1123" s="655">
        <v>56857</v>
      </c>
      <c r="B1123" s="656" t="s">
        <v>33</v>
      </c>
      <c r="C1123" s="655" t="s">
        <v>2793</v>
      </c>
      <c r="D1123" s="656" t="s">
        <v>1200</v>
      </c>
      <c r="E1123" s="656" t="s">
        <v>1201</v>
      </c>
      <c r="F1123" s="655">
        <v>56072</v>
      </c>
      <c r="G1123" s="656" t="s">
        <v>57</v>
      </c>
      <c r="H1123" s="656" t="s">
        <v>1182</v>
      </c>
      <c r="I1123" s="656" t="s">
        <v>58</v>
      </c>
      <c r="J1123" s="655">
        <v>22</v>
      </c>
      <c r="K1123" s="655">
        <v>2</v>
      </c>
      <c r="L1123" s="656" t="s">
        <v>52</v>
      </c>
      <c r="M1123" s="656" t="s">
        <v>71</v>
      </c>
      <c r="N1123" s="656" t="s">
        <v>72</v>
      </c>
      <c r="O1123" s="656" t="s">
        <v>72</v>
      </c>
      <c r="P1123" s="656" t="s">
        <v>1176</v>
      </c>
      <c r="Q1123" s="657">
        <v>0</v>
      </c>
      <c r="R1123" s="657">
        <v>0</v>
      </c>
      <c r="S1123" s="657">
        <v>3903106</v>
      </c>
      <c r="T1123" s="657">
        <v>3903106</v>
      </c>
      <c r="U1123" s="657">
        <v>441378</v>
      </c>
      <c r="V1123" s="655">
        <v>2021</v>
      </c>
      <c r="W1123" s="659"/>
      <c r="X1123" s="660">
        <f t="shared" si="53"/>
        <v>8.8430007839085771</v>
      </c>
      <c r="Y1123" s="661" t="str">
        <f t="shared" si="51"/>
        <v/>
      </c>
      <c r="Z1123" s="661" t="str">
        <f t="shared" si="52"/>
        <v/>
      </c>
    </row>
    <row r="1124" spans="1:26" s="128" customFormat="1" hidden="1">
      <c r="A1124" s="655">
        <v>56891</v>
      </c>
      <c r="B1124" s="656" t="s">
        <v>33</v>
      </c>
      <c r="C1124" s="655" t="s">
        <v>2793</v>
      </c>
      <c r="D1124" s="656" t="s">
        <v>1028</v>
      </c>
      <c r="E1124" s="656" t="s">
        <v>1841</v>
      </c>
      <c r="F1124" s="655">
        <v>57249</v>
      </c>
      <c r="G1124" s="656" t="s">
        <v>89</v>
      </c>
      <c r="H1124" s="656" t="s">
        <v>1183</v>
      </c>
      <c r="I1124" s="656" t="s">
        <v>58</v>
      </c>
      <c r="J1124" s="655">
        <v>22</v>
      </c>
      <c r="K1124" s="655">
        <v>2</v>
      </c>
      <c r="L1124" s="656" t="s">
        <v>52</v>
      </c>
      <c r="M1124" s="656" t="s">
        <v>51</v>
      </c>
      <c r="N1124" s="656" t="s">
        <v>63</v>
      </c>
      <c r="O1124" s="656" t="s">
        <v>64</v>
      </c>
      <c r="P1124" s="656" t="s">
        <v>1037</v>
      </c>
      <c r="Q1124" s="657">
        <v>217406</v>
      </c>
      <c r="R1124" s="657">
        <v>217406</v>
      </c>
      <c r="S1124" s="657">
        <v>78483</v>
      </c>
      <c r="T1124" s="657">
        <v>78483</v>
      </c>
      <c r="U1124" s="657">
        <v>6683</v>
      </c>
      <c r="V1124" s="655">
        <v>2021</v>
      </c>
      <c r="W1124" s="659"/>
      <c r="X1124" s="660">
        <f t="shared" si="53"/>
        <v>11.743677988927129</v>
      </c>
      <c r="Y1124" s="661" t="str">
        <f t="shared" si="51"/>
        <v/>
      </c>
      <c r="Z1124" s="661" t="str">
        <f t="shared" si="52"/>
        <v/>
      </c>
    </row>
    <row r="1125" spans="1:26" s="128" customFormat="1" ht="25" hidden="1">
      <c r="A1125" s="655">
        <v>56901</v>
      </c>
      <c r="B1125" s="656" t="s">
        <v>33</v>
      </c>
      <c r="C1125" s="655" t="s">
        <v>2793</v>
      </c>
      <c r="D1125" s="656" t="s">
        <v>3125</v>
      </c>
      <c r="E1125" s="656" t="s">
        <v>3122</v>
      </c>
      <c r="F1125" s="655">
        <v>63858</v>
      </c>
      <c r="G1125" s="656" t="s">
        <v>57</v>
      </c>
      <c r="H1125" s="656" t="s">
        <v>1182</v>
      </c>
      <c r="I1125" s="656" t="s">
        <v>58</v>
      </c>
      <c r="J1125" s="655">
        <v>22</v>
      </c>
      <c r="K1125" s="655">
        <v>2</v>
      </c>
      <c r="L1125" s="656" t="s">
        <v>52</v>
      </c>
      <c r="M1125" s="656" t="s">
        <v>71</v>
      </c>
      <c r="N1125" s="656" t="s">
        <v>72</v>
      </c>
      <c r="O1125" s="656" t="s">
        <v>72</v>
      </c>
      <c r="P1125" s="656" t="s">
        <v>1176</v>
      </c>
      <c r="Q1125" s="657">
        <v>0</v>
      </c>
      <c r="R1125" s="657">
        <v>0</v>
      </c>
      <c r="S1125" s="657">
        <v>1436926</v>
      </c>
      <c r="T1125" s="657">
        <v>1436926</v>
      </c>
      <c r="U1125" s="657">
        <v>162493</v>
      </c>
      <c r="V1125" s="655">
        <v>2021</v>
      </c>
      <c r="W1125" s="659"/>
      <c r="X1125" s="660">
        <f t="shared" si="53"/>
        <v>8.8430024677986125</v>
      </c>
      <c r="Y1125" s="661" t="str">
        <f t="shared" si="51"/>
        <v/>
      </c>
      <c r="Z1125" s="661" t="str">
        <f t="shared" si="52"/>
        <v/>
      </c>
    </row>
    <row r="1126" spans="1:26" s="128" customFormat="1" ht="25" hidden="1">
      <c r="A1126" s="655">
        <v>56902</v>
      </c>
      <c r="B1126" s="656" t="s">
        <v>33</v>
      </c>
      <c r="C1126" s="655" t="s">
        <v>2793</v>
      </c>
      <c r="D1126" s="656" t="s">
        <v>3126</v>
      </c>
      <c r="E1126" s="656" t="s">
        <v>3122</v>
      </c>
      <c r="F1126" s="655">
        <v>63858</v>
      </c>
      <c r="G1126" s="656" t="s">
        <v>57</v>
      </c>
      <c r="H1126" s="656" t="s">
        <v>1182</v>
      </c>
      <c r="I1126" s="656" t="s">
        <v>58</v>
      </c>
      <c r="J1126" s="655">
        <v>22</v>
      </c>
      <c r="K1126" s="655">
        <v>2</v>
      </c>
      <c r="L1126" s="656" t="s">
        <v>52</v>
      </c>
      <c r="M1126" s="656" t="s">
        <v>71</v>
      </c>
      <c r="N1126" s="656" t="s">
        <v>72</v>
      </c>
      <c r="O1126" s="656" t="s">
        <v>72</v>
      </c>
      <c r="P1126" s="656" t="s">
        <v>1176</v>
      </c>
      <c r="Q1126" s="657">
        <v>0</v>
      </c>
      <c r="R1126" s="657">
        <v>0</v>
      </c>
      <c r="S1126" s="657">
        <v>2015242</v>
      </c>
      <c r="T1126" s="657">
        <v>2015242</v>
      </c>
      <c r="U1126" s="657">
        <v>227891</v>
      </c>
      <c r="V1126" s="655">
        <v>2021</v>
      </c>
      <c r="W1126" s="659"/>
      <c r="X1126" s="660">
        <f t="shared" si="53"/>
        <v>8.8430082802743417</v>
      </c>
      <c r="Y1126" s="661" t="str">
        <f t="shared" si="51"/>
        <v/>
      </c>
      <c r="Z1126" s="661" t="str">
        <f t="shared" si="52"/>
        <v/>
      </c>
    </row>
    <row r="1127" spans="1:26" s="128" customFormat="1" ht="25" hidden="1">
      <c r="A1127" s="655">
        <v>56904</v>
      </c>
      <c r="B1127" s="656" t="s">
        <v>33</v>
      </c>
      <c r="C1127" s="655" t="s">
        <v>2793</v>
      </c>
      <c r="D1127" s="656" t="s">
        <v>3127</v>
      </c>
      <c r="E1127" s="656" t="s">
        <v>3122</v>
      </c>
      <c r="F1127" s="655">
        <v>63858</v>
      </c>
      <c r="G1127" s="656" t="s">
        <v>57</v>
      </c>
      <c r="H1127" s="656" t="s">
        <v>1182</v>
      </c>
      <c r="I1127" s="656" t="s">
        <v>58</v>
      </c>
      <c r="J1127" s="655">
        <v>22</v>
      </c>
      <c r="K1127" s="655">
        <v>2</v>
      </c>
      <c r="L1127" s="656" t="s">
        <v>52</v>
      </c>
      <c r="M1127" s="656" t="s">
        <v>71</v>
      </c>
      <c r="N1127" s="656" t="s">
        <v>72</v>
      </c>
      <c r="O1127" s="656" t="s">
        <v>72</v>
      </c>
      <c r="P1127" s="656" t="s">
        <v>1176</v>
      </c>
      <c r="Q1127" s="657">
        <v>0</v>
      </c>
      <c r="R1127" s="657">
        <v>0</v>
      </c>
      <c r="S1127" s="657">
        <v>1550106</v>
      </c>
      <c r="T1127" s="657">
        <v>1550106</v>
      </c>
      <c r="U1127" s="657">
        <v>175292</v>
      </c>
      <c r="V1127" s="655">
        <v>2021</v>
      </c>
      <c r="W1127" s="659"/>
      <c r="X1127" s="660">
        <f t="shared" si="53"/>
        <v>8.8429934052894605</v>
      </c>
      <c r="Y1127" s="661" t="str">
        <f t="shared" si="51"/>
        <v/>
      </c>
      <c r="Z1127" s="661" t="str">
        <f t="shared" si="52"/>
        <v/>
      </c>
    </row>
    <row r="1128" spans="1:26" s="128" customFormat="1" ht="25" hidden="1">
      <c r="A1128" s="655">
        <v>56928</v>
      </c>
      <c r="B1128" s="656" t="s">
        <v>54</v>
      </c>
      <c r="C1128" s="655" t="s">
        <v>2793</v>
      </c>
      <c r="D1128" s="656" t="s">
        <v>1068</v>
      </c>
      <c r="E1128" s="656" t="s">
        <v>1029</v>
      </c>
      <c r="F1128" s="655">
        <v>56143</v>
      </c>
      <c r="G1128" s="656" t="s">
        <v>41</v>
      </c>
      <c r="H1128" s="656" t="s">
        <v>1183</v>
      </c>
      <c r="I1128" s="656" t="s">
        <v>58</v>
      </c>
      <c r="J1128" s="655">
        <v>611</v>
      </c>
      <c r="K1128" s="655">
        <v>5</v>
      </c>
      <c r="L1128" s="656" t="s">
        <v>413</v>
      </c>
      <c r="M1128" s="656" t="s">
        <v>50</v>
      </c>
      <c r="N1128" s="656" t="s">
        <v>39</v>
      </c>
      <c r="O1128" s="656" t="s">
        <v>39</v>
      </c>
      <c r="P1128" s="656" t="s">
        <v>1037</v>
      </c>
      <c r="Q1128" s="657">
        <v>213004</v>
      </c>
      <c r="R1128" s="657">
        <v>150726</v>
      </c>
      <c r="S1128" s="657">
        <v>219179</v>
      </c>
      <c r="T1128" s="657">
        <v>155097</v>
      </c>
      <c r="U1128" s="657">
        <v>22147</v>
      </c>
      <c r="V1128" s="655">
        <v>2021</v>
      </c>
      <c r="W1128" s="659"/>
      <c r="X1128" s="660" t="str">
        <f t="shared" si="53"/>
        <v/>
      </c>
      <c r="Y1128" s="661">
        <f t="shared" si="51"/>
        <v>3.8063672454334845</v>
      </c>
      <c r="Z1128" s="661" t="str">
        <f t="shared" si="52"/>
        <v/>
      </c>
    </row>
    <row r="1129" spans="1:26" s="128" customFormat="1" ht="25" hidden="1">
      <c r="A1129" s="655">
        <v>56936</v>
      </c>
      <c r="B1129" s="656" t="s">
        <v>33</v>
      </c>
      <c r="C1129" s="655" t="s">
        <v>2793</v>
      </c>
      <c r="D1129" s="656" t="s">
        <v>1030</v>
      </c>
      <c r="E1129" s="656" t="s">
        <v>119</v>
      </c>
      <c r="F1129" s="655">
        <v>5914</v>
      </c>
      <c r="G1129" s="656" t="s">
        <v>57</v>
      </c>
      <c r="H1129" s="656" t="s">
        <v>1182</v>
      </c>
      <c r="I1129" s="656" t="s">
        <v>58</v>
      </c>
      <c r="J1129" s="655">
        <v>322122</v>
      </c>
      <c r="K1129" s="655">
        <v>6</v>
      </c>
      <c r="L1129" s="656" t="s">
        <v>410</v>
      </c>
      <c r="M1129" s="656" t="s">
        <v>35</v>
      </c>
      <c r="N1129" s="656" t="s">
        <v>36</v>
      </c>
      <c r="O1129" s="656" t="s">
        <v>37</v>
      </c>
      <c r="P1129" s="656" t="s">
        <v>1176</v>
      </c>
      <c r="Q1129" s="657">
        <v>0</v>
      </c>
      <c r="R1129" s="657">
        <v>0</v>
      </c>
      <c r="S1129" s="657">
        <v>503433</v>
      </c>
      <c r="T1129" s="657">
        <v>503433</v>
      </c>
      <c r="U1129" s="657">
        <v>56930</v>
      </c>
      <c r="V1129" s="655">
        <v>2021</v>
      </c>
      <c r="W1129" s="659"/>
      <c r="X1129" s="660" t="str">
        <f t="shared" si="53"/>
        <v/>
      </c>
      <c r="Y1129" s="661" t="str">
        <f t="shared" si="51"/>
        <v/>
      </c>
      <c r="Z1129" s="661" t="str">
        <f t="shared" si="52"/>
        <v/>
      </c>
    </row>
    <row r="1130" spans="1:26" s="128" customFormat="1" hidden="1">
      <c r="A1130" s="655">
        <v>56940</v>
      </c>
      <c r="B1130" s="656" t="s">
        <v>33</v>
      </c>
      <c r="C1130" s="655" t="s">
        <v>2793</v>
      </c>
      <c r="D1130" s="656" t="s">
        <v>2323</v>
      </c>
      <c r="E1130" s="656" t="s">
        <v>2324</v>
      </c>
      <c r="F1130" s="655">
        <v>56204</v>
      </c>
      <c r="G1130" s="656" t="s">
        <v>57</v>
      </c>
      <c r="H1130" s="656" t="s">
        <v>1182</v>
      </c>
      <c r="I1130" s="656" t="s">
        <v>58</v>
      </c>
      <c r="J1130" s="655">
        <v>22</v>
      </c>
      <c r="K1130" s="655">
        <v>2</v>
      </c>
      <c r="L1130" s="656" t="s">
        <v>52</v>
      </c>
      <c r="M1130" s="656" t="s">
        <v>38</v>
      </c>
      <c r="N1130" s="656" t="s">
        <v>46</v>
      </c>
      <c r="O1130" s="656" t="s">
        <v>46</v>
      </c>
      <c r="P1130" s="656" t="s">
        <v>47</v>
      </c>
      <c r="Q1130" s="657">
        <v>0</v>
      </c>
      <c r="R1130" s="657">
        <v>0</v>
      </c>
      <c r="S1130" s="657">
        <v>0</v>
      </c>
      <c r="T1130" s="657">
        <v>0</v>
      </c>
      <c r="U1130" s="657">
        <v>10.01</v>
      </c>
      <c r="V1130" s="655">
        <v>2021</v>
      </c>
      <c r="W1130" s="659" t="s">
        <v>3675</v>
      </c>
      <c r="X1130" s="660" t="str">
        <f t="shared" si="53"/>
        <v/>
      </c>
      <c r="Y1130" s="661" t="str">
        <f t="shared" si="51"/>
        <v/>
      </c>
      <c r="Z1130" s="661" t="str">
        <f t="shared" si="52"/>
        <v/>
      </c>
    </row>
    <row r="1131" spans="1:26" s="128" customFormat="1" hidden="1">
      <c r="A1131" s="655">
        <v>56940</v>
      </c>
      <c r="B1131" s="656" t="s">
        <v>33</v>
      </c>
      <c r="C1131" s="655" t="s">
        <v>2793</v>
      </c>
      <c r="D1131" s="656" t="s">
        <v>2323</v>
      </c>
      <c r="E1131" s="656" t="s">
        <v>2324</v>
      </c>
      <c r="F1131" s="655">
        <v>56204</v>
      </c>
      <c r="G1131" s="656" t="s">
        <v>57</v>
      </c>
      <c r="H1131" s="656" t="s">
        <v>1182</v>
      </c>
      <c r="I1131" s="656" t="s">
        <v>58</v>
      </c>
      <c r="J1131" s="655">
        <v>22</v>
      </c>
      <c r="K1131" s="655">
        <v>2</v>
      </c>
      <c r="L1131" s="656" t="s">
        <v>52</v>
      </c>
      <c r="M1131" s="656" t="s">
        <v>38</v>
      </c>
      <c r="N1131" s="656" t="s">
        <v>39</v>
      </c>
      <c r="O1131" s="656" t="s">
        <v>39</v>
      </c>
      <c r="P1131" s="656" t="s">
        <v>1037</v>
      </c>
      <c r="Q1131" s="657">
        <v>1130539</v>
      </c>
      <c r="R1131" s="657">
        <v>1130539</v>
      </c>
      <c r="S1131" s="657">
        <v>1160305</v>
      </c>
      <c r="T1131" s="657">
        <v>1160305</v>
      </c>
      <c r="U1131" s="657">
        <v>1616362</v>
      </c>
      <c r="V1131" s="655">
        <v>2021</v>
      </c>
      <c r="W1131" s="659" t="s">
        <v>3675</v>
      </c>
      <c r="X1131" s="660">
        <f t="shared" si="53"/>
        <v>0.71784971435854095</v>
      </c>
      <c r="Y1131" s="661" t="str">
        <f t="shared" si="51"/>
        <v/>
      </c>
      <c r="Z1131" s="661" t="str">
        <f t="shared" si="52"/>
        <v/>
      </c>
    </row>
    <row r="1132" spans="1:26" s="128" customFormat="1" hidden="1">
      <c r="A1132" s="655">
        <v>56940</v>
      </c>
      <c r="B1132" s="656" t="s">
        <v>33</v>
      </c>
      <c r="C1132" s="655" t="s">
        <v>2793</v>
      </c>
      <c r="D1132" s="656" t="s">
        <v>2323</v>
      </c>
      <c r="E1132" s="656" t="s">
        <v>2324</v>
      </c>
      <c r="F1132" s="655">
        <v>56204</v>
      </c>
      <c r="G1132" s="656" t="s">
        <v>57</v>
      </c>
      <c r="H1132" s="656" t="s">
        <v>1182</v>
      </c>
      <c r="I1132" s="656" t="s">
        <v>58</v>
      </c>
      <c r="J1132" s="655">
        <v>22</v>
      </c>
      <c r="K1132" s="655">
        <v>2</v>
      </c>
      <c r="L1132" s="656" t="s">
        <v>52</v>
      </c>
      <c r="M1132" s="656" t="s">
        <v>41</v>
      </c>
      <c r="N1132" s="656" t="s">
        <v>46</v>
      </c>
      <c r="O1132" s="656" t="s">
        <v>46</v>
      </c>
      <c r="P1132" s="656" t="s">
        <v>47</v>
      </c>
      <c r="Q1132" s="657">
        <v>32</v>
      </c>
      <c r="R1132" s="657">
        <v>32</v>
      </c>
      <c r="S1132" s="657">
        <v>184</v>
      </c>
      <c r="T1132" s="657">
        <v>184</v>
      </c>
      <c r="U1132" s="657">
        <v>17.382000000000001</v>
      </c>
      <c r="V1132" s="655">
        <v>2021</v>
      </c>
      <c r="W1132" s="659" t="s">
        <v>3675</v>
      </c>
      <c r="X1132" s="660">
        <f t="shared" si="53"/>
        <v>10.585663329881486</v>
      </c>
      <c r="Y1132" s="661" t="str">
        <f t="shared" si="51"/>
        <v/>
      </c>
      <c r="Z1132" s="661" t="str">
        <f t="shared" si="52"/>
        <v/>
      </c>
    </row>
    <row r="1133" spans="1:26" s="128" customFormat="1" hidden="1">
      <c r="A1133" s="655">
        <v>56940</v>
      </c>
      <c r="B1133" s="656" t="s">
        <v>33</v>
      </c>
      <c r="C1133" s="655" t="s">
        <v>2793</v>
      </c>
      <c r="D1133" s="656" t="s">
        <v>2323</v>
      </c>
      <c r="E1133" s="656" t="s">
        <v>2324</v>
      </c>
      <c r="F1133" s="655">
        <v>56204</v>
      </c>
      <c r="G1133" s="656" t="s">
        <v>57</v>
      </c>
      <c r="H1133" s="656" t="s">
        <v>1182</v>
      </c>
      <c r="I1133" s="656" t="s">
        <v>58</v>
      </c>
      <c r="J1133" s="655">
        <v>22</v>
      </c>
      <c r="K1133" s="655">
        <v>2</v>
      </c>
      <c r="L1133" s="656" t="s">
        <v>52</v>
      </c>
      <c r="M1133" s="656" t="s">
        <v>41</v>
      </c>
      <c r="N1133" s="656" t="s">
        <v>39</v>
      </c>
      <c r="O1133" s="656" t="s">
        <v>39</v>
      </c>
      <c r="P1133" s="656" t="s">
        <v>1037</v>
      </c>
      <c r="Q1133" s="657">
        <v>28342214</v>
      </c>
      <c r="R1133" s="657">
        <v>28342214</v>
      </c>
      <c r="S1133" s="657">
        <v>29084789</v>
      </c>
      <c r="T1133" s="657">
        <v>29084789</v>
      </c>
      <c r="U1133" s="657">
        <v>2716498.6</v>
      </c>
      <c r="V1133" s="655">
        <v>2021</v>
      </c>
      <c r="W1133" s="659" t="s">
        <v>3675</v>
      </c>
      <c r="X1133" s="660">
        <f t="shared" si="53"/>
        <v>10.706719672154442</v>
      </c>
      <c r="Y1133" s="661" t="str">
        <f t="shared" si="51"/>
        <v/>
      </c>
      <c r="Z1133" s="661" t="str">
        <f t="shared" si="52"/>
        <v/>
      </c>
    </row>
    <row r="1134" spans="1:26" s="128" customFormat="1" hidden="1">
      <c r="A1134" s="655">
        <v>56953</v>
      </c>
      <c r="B1134" s="656" t="s">
        <v>33</v>
      </c>
      <c r="C1134" s="655" t="s">
        <v>2793</v>
      </c>
      <c r="D1134" s="656" t="s">
        <v>446</v>
      </c>
      <c r="E1134" s="656" t="s">
        <v>447</v>
      </c>
      <c r="F1134" s="655">
        <v>49893</v>
      </c>
      <c r="G1134" s="656" t="s">
        <v>57</v>
      </c>
      <c r="H1134" s="656" t="s">
        <v>1182</v>
      </c>
      <c r="I1134" s="656" t="s">
        <v>58</v>
      </c>
      <c r="J1134" s="655">
        <v>22</v>
      </c>
      <c r="K1134" s="655">
        <v>2</v>
      </c>
      <c r="L1134" s="656" t="s">
        <v>52</v>
      </c>
      <c r="M1134" s="656" t="s">
        <v>71</v>
      </c>
      <c r="N1134" s="656" t="s">
        <v>72</v>
      </c>
      <c r="O1134" s="656" t="s">
        <v>72</v>
      </c>
      <c r="P1134" s="656" t="s">
        <v>1176</v>
      </c>
      <c r="Q1134" s="657">
        <v>0</v>
      </c>
      <c r="R1134" s="657">
        <v>0</v>
      </c>
      <c r="S1134" s="657">
        <v>1964729</v>
      </c>
      <c r="T1134" s="657">
        <v>1964729</v>
      </c>
      <c r="U1134" s="657">
        <v>222179</v>
      </c>
      <c r="V1134" s="655">
        <v>2021</v>
      </c>
      <c r="W1134" s="659"/>
      <c r="X1134" s="660">
        <f t="shared" si="53"/>
        <v>8.8430004635901689</v>
      </c>
      <c r="Y1134" s="661" t="str">
        <f t="shared" si="51"/>
        <v/>
      </c>
      <c r="Z1134" s="661" t="str">
        <f t="shared" si="52"/>
        <v/>
      </c>
    </row>
    <row r="1135" spans="1:26" s="128" customFormat="1" ht="25" hidden="1">
      <c r="A1135" s="655">
        <v>56958</v>
      </c>
      <c r="B1135" s="656" t="s">
        <v>33</v>
      </c>
      <c r="C1135" s="655" t="s">
        <v>2793</v>
      </c>
      <c r="D1135" s="656" t="s">
        <v>1031</v>
      </c>
      <c r="E1135" s="656" t="s">
        <v>1016</v>
      </c>
      <c r="F1135" s="655">
        <v>50158</v>
      </c>
      <c r="G1135" s="656" t="s">
        <v>57</v>
      </c>
      <c r="H1135" s="656" t="s">
        <v>1182</v>
      </c>
      <c r="I1135" s="656" t="s">
        <v>58</v>
      </c>
      <c r="J1135" s="655">
        <v>22</v>
      </c>
      <c r="K1135" s="655">
        <v>2</v>
      </c>
      <c r="L1135" s="656" t="s">
        <v>52</v>
      </c>
      <c r="M1135" s="656" t="s">
        <v>51</v>
      </c>
      <c r="N1135" s="656" t="s">
        <v>63</v>
      </c>
      <c r="O1135" s="656" t="s">
        <v>64</v>
      </c>
      <c r="P1135" s="656" t="s">
        <v>1037</v>
      </c>
      <c r="Q1135" s="657">
        <v>704534</v>
      </c>
      <c r="R1135" s="657">
        <v>704534</v>
      </c>
      <c r="S1135" s="657">
        <v>360019</v>
      </c>
      <c r="T1135" s="657">
        <v>360019</v>
      </c>
      <c r="U1135" s="657">
        <v>32028</v>
      </c>
      <c r="V1135" s="655">
        <v>2021</v>
      </c>
      <c r="W1135" s="659"/>
      <c r="X1135" s="660">
        <f t="shared" si="53"/>
        <v>11.240758086674161</v>
      </c>
      <c r="Y1135" s="661" t="str">
        <f t="shared" si="51"/>
        <v/>
      </c>
      <c r="Z1135" s="661" t="str">
        <f t="shared" si="52"/>
        <v/>
      </c>
    </row>
    <row r="1136" spans="1:26" s="128" customFormat="1" ht="25" hidden="1">
      <c r="A1136" s="655">
        <v>56986</v>
      </c>
      <c r="B1136" s="656" t="s">
        <v>33</v>
      </c>
      <c r="C1136" s="655" t="s">
        <v>2793</v>
      </c>
      <c r="D1136" s="656" t="s">
        <v>1032</v>
      </c>
      <c r="E1136" s="656" t="s">
        <v>1016</v>
      </c>
      <c r="F1136" s="655">
        <v>50158</v>
      </c>
      <c r="G1136" s="656" t="s">
        <v>57</v>
      </c>
      <c r="H1136" s="656" t="s">
        <v>1182</v>
      </c>
      <c r="I1136" s="656" t="s">
        <v>58</v>
      </c>
      <c r="J1136" s="655">
        <v>22</v>
      </c>
      <c r="K1136" s="655">
        <v>2</v>
      </c>
      <c r="L1136" s="656" t="s">
        <v>52</v>
      </c>
      <c r="M1136" s="656" t="s">
        <v>51</v>
      </c>
      <c r="N1136" s="656" t="s">
        <v>63</v>
      </c>
      <c r="O1136" s="656" t="s">
        <v>64</v>
      </c>
      <c r="P1136" s="656" t="s">
        <v>1037</v>
      </c>
      <c r="Q1136" s="657">
        <v>851825</v>
      </c>
      <c r="R1136" s="657">
        <v>851825</v>
      </c>
      <c r="S1136" s="657">
        <v>430169</v>
      </c>
      <c r="T1136" s="657">
        <v>430169</v>
      </c>
      <c r="U1136" s="657">
        <v>38416</v>
      </c>
      <c r="V1136" s="655">
        <v>2021</v>
      </c>
      <c r="W1136" s="659"/>
      <c r="X1136" s="660">
        <f t="shared" si="53"/>
        <v>11.19765201999167</v>
      </c>
      <c r="Y1136" s="661" t="str">
        <f t="shared" si="51"/>
        <v/>
      </c>
      <c r="Z1136" s="661" t="str">
        <f t="shared" si="52"/>
        <v/>
      </c>
    </row>
    <row r="1137" spans="1:26" s="128" customFormat="1" ht="25" hidden="1">
      <c r="A1137" s="655">
        <v>56987</v>
      </c>
      <c r="B1137" s="656" t="s">
        <v>33</v>
      </c>
      <c r="C1137" s="655" t="s">
        <v>2793</v>
      </c>
      <c r="D1137" s="656" t="s">
        <v>1033</v>
      </c>
      <c r="E1137" s="656" t="s">
        <v>1016</v>
      </c>
      <c r="F1137" s="655">
        <v>50158</v>
      </c>
      <c r="G1137" s="656" t="s">
        <v>57</v>
      </c>
      <c r="H1137" s="656" t="s">
        <v>1182</v>
      </c>
      <c r="I1137" s="656" t="s">
        <v>58</v>
      </c>
      <c r="J1137" s="655">
        <v>22</v>
      </c>
      <c r="K1137" s="655">
        <v>2</v>
      </c>
      <c r="L1137" s="656" t="s">
        <v>52</v>
      </c>
      <c r="M1137" s="656" t="s">
        <v>51</v>
      </c>
      <c r="N1137" s="656" t="s">
        <v>63</v>
      </c>
      <c r="O1137" s="656" t="s">
        <v>64</v>
      </c>
      <c r="P1137" s="656" t="s">
        <v>1037</v>
      </c>
      <c r="Q1137" s="657">
        <v>1099236</v>
      </c>
      <c r="R1137" s="657">
        <v>1099236</v>
      </c>
      <c r="S1137" s="657">
        <v>516641</v>
      </c>
      <c r="T1137" s="657">
        <v>516641</v>
      </c>
      <c r="U1137" s="657">
        <v>36879</v>
      </c>
      <c r="V1137" s="655">
        <v>2021</v>
      </c>
      <c r="W1137" s="659"/>
      <c r="X1137" s="660">
        <f t="shared" si="53"/>
        <v>14.009083760405652</v>
      </c>
      <c r="Y1137" s="661" t="str">
        <f t="shared" si="51"/>
        <v/>
      </c>
      <c r="Z1137" s="661" t="str">
        <f t="shared" si="52"/>
        <v/>
      </c>
    </row>
    <row r="1138" spans="1:26" s="128" customFormat="1" hidden="1">
      <c r="A1138" s="655">
        <v>56989</v>
      </c>
      <c r="B1138" s="656" t="s">
        <v>33</v>
      </c>
      <c r="C1138" s="655" t="s">
        <v>2793</v>
      </c>
      <c r="D1138" s="656" t="s">
        <v>1069</v>
      </c>
      <c r="E1138" s="656" t="s">
        <v>3120</v>
      </c>
      <c r="F1138" s="655">
        <v>59155</v>
      </c>
      <c r="G1138" s="656" t="s">
        <v>90</v>
      </c>
      <c r="H1138" s="656" t="s">
        <v>1183</v>
      </c>
      <c r="I1138" s="656" t="s">
        <v>58</v>
      </c>
      <c r="J1138" s="655">
        <v>22</v>
      </c>
      <c r="K1138" s="655">
        <v>2</v>
      </c>
      <c r="L1138" s="656" t="s">
        <v>52</v>
      </c>
      <c r="M1138" s="656" t="s">
        <v>71</v>
      </c>
      <c r="N1138" s="656" t="s">
        <v>72</v>
      </c>
      <c r="O1138" s="656" t="s">
        <v>72</v>
      </c>
      <c r="P1138" s="656" t="s">
        <v>1176</v>
      </c>
      <c r="Q1138" s="657">
        <v>0</v>
      </c>
      <c r="R1138" s="657">
        <v>0</v>
      </c>
      <c r="S1138" s="657">
        <v>1031148</v>
      </c>
      <c r="T1138" s="657">
        <v>1031148</v>
      </c>
      <c r="U1138" s="657">
        <v>116606</v>
      </c>
      <c r="V1138" s="655">
        <v>2021</v>
      </c>
      <c r="W1138" s="659"/>
      <c r="X1138" s="660">
        <f t="shared" si="53"/>
        <v>8.8430097936641339</v>
      </c>
      <c r="Y1138" s="661" t="str">
        <f t="shared" si="51"/>
        <v/>
      </c>
      <c r="Z1138" s="661" t="str">
        <f t="shared" si="52"/>
        <v/>
      </c>
    </row>
    <row r="1139" spans="1:26" s="128" customFormat="1" hidden="1">
      <c r="A1139" s="655">
        <v>56990</v>
      </c>
      <c r="B1139" s="656" t="s">
        <v>33</v>
      </c>
      <c r="C1139" s="655" t="s">
        <v>2793</v>
      </c>
      <c r="D1139" s="656" t="s">
        <v>1123</v>
      </c>
      <c r="E1139" s="656" t="s">
        <v>3120</v>
      </c>
      <c r="F1139" s="655">
        <v>59155</v>
      </c>
      <c r="G1139" s="656" t="s">
        <v>90</v>
      </c>
      <c r="H1139" s="656" t="s">
        <v>1183</v>
      </c>
      <c r="I1139" s="656" t="s">
        <v>58</v>
      </c>
      <c r="J1139" s="655">
        <v>22</v>
      </c>
      <c r="K1139" s="655">
        <v>2</v>
      </c>
      <c r="L1139" s="656" t="s">
        <v>52</v>
      </c>
      <c r="M1139" s="656" t="s">
        <v>71</v>
      </c>
      <c r="N1139" s="656" t="s">
        <v>72</v>
      </c>
      <c r="O1139" s="656" t="s">
        <v>72</v>
      </c>
      <c r="P1139" s="656" t="s">
        <v>1176</v>
      </c>
      <c r="Q1139" s="657">
        <v>0</v>
      </c>
      <c r="R1139" s="657">
        <v>0</v>
      </c>
      <c r="S1139" s="657">
        <v>1310531</v>
      </c>
      <c r="T1139" s="657">
        <v>1310531</v>
      </c>
      <c r="U1139" s="657">
        <v>148200</v>
      </c>
      <c r="V1139" s="655">
        <v>2021</v>
      </c>
      <c r="W1139" s="659"/>
      <c r="X1139" s="660">
        <f t="shared" si="53"/>
        <v>8.8429892037786768</v>
      </c>
      <c r="Y1139" s="661" t="str">
        <f t="shared" si="51"/>
        <v/>
      </c>
      <c r="Z1139" s="661" t="str">
        <f t="shared" si="52"/>
        <v/>
      </c>
    </row>
    <row r="1140" spans="1:26" s="128" customFormat="1" hidden="1">
      <c r="A1140" s="655">
        <v>56991</v>
      </c>
      <c r="B1140" s="656" t="s">
        <v>33</v>
      </c>
      <c r="C1140" s="655" t="s">
        <v>2793</v>
      </c>
      <c r="D1140" s="656" t="s">
        <v>1070</v>
      </c>
      <c r="E1140" s="656" t="s">
        <v>3120</v>
      </c>
      <c r="F1140" s="655">
        <v>59155</v>
      </c>
      <c r="G1140" s="656" t="s">
        <v>90</v>
      </c>
      <c r="H1140" s="656" t="s">
        <v>1183</v>
      </c>
      <c r="I1140" s="656" t="s">
        <v>58</v>
      </c>
      <c r="J1140" s="655">
        <v>22</v>
      </c>
      <c r="K1140" s="655">
        <v>2</v>
      </c>
      <c r="L1140" s="656" t="s">
        <v>52</v>
      </c>
      <c r="M1140" s="656" t="s">
        <v>71</v>
      </c>
      <c r="N1140" s="656" t="s">
        <v>72</v>
      </c>
      <c r="O1140" s="656" t="s">
        <v>72</v>
      </c>
      <c r="P1140" s="656" t="s">
        <v>1176</v>
      </c>
      <c r="Q1140" s="657">
        <v>0</v>
      </c>
      <c r="R1140" s="657">
        <v>0</v>
      </c>
      <c r="S1140" s="657">
        <v>458237</v>
      </c>
      <c r="T1140" s="657">
        <v>458237</v>
      </c>
      <c r="U1140" s="657">
        <v>51819</v>
      </c>
      <c r="V1140" s="655">
        <v>2021</v>
      </c>
      <c r="W1140" s="659"/>
      <c r="X1140" s="660">
        <f t="shared" si="53"/>
        <v>8.8430305486404599</v>
      </c>
      <c r="Y1140" s="661" t="str">
        <f t="shared" si="51"/>
        <v/>
      </c>
      <c r="Z1140" s="661" t="str">
        <f t="shared" si="52"/>
        <v/>
      </c>
    </row>
    <row r="1141" spans="1:26" s="128" customFormat="1" hidden="1">
      <c r="A1141" s="655">
        <v>57002</v>
      </c>
      <c r="B1141" s="656" t="s">
        <v>33</v>
      </c>
      <c r="C1141" s="655" t="s">
        <v>2793</v>
      </c>
      <c r="D1141" s="656" t="s">
        <v>1842</v>
      </c>
      <c r="E1141" s="656" t="s">
        <v>3128</v>
      </c>
      <c r="F1141" s="655">
        <v>60453</v>
      </c>
      <c r="G1141" s="656" t="s">
        <v>90</v>
      </c>
      <c r="H1141" s="656" t="s">
        <v>1183</v>
      </c>
      <c r="I1141" s="656" t="s">
        <v>58</v>
      </c>
      <c r="J1141" s="655">
        <v>22</v>
      </c>
      <c r="K1141" s="655">
        <v>2</v>
      </c>
      <c r="L1141" s="656" t="s">
        <v>52</v>
      </c>
      <c r="M1141" s="656" t="s">
        <v>71</v>
      </c>
      <c r="N1141" s="656" t="s">
        <v>72</v>
      </c>
      <c r="O1141" s="656" t="s">
        <v>72</v>
      </c>
      <c r="P1141" s="656" t="s">
        <v>1176</v>
      </c>
      <c r="Q1141" s="657">
        <v>0</v>
      </c>
      <c r="R1141" s="657">
        <v>0</v>
      </c>
      <c r="S1141" s="657">
        <v>3032503</v>
      </c>
      <c r="T1141" s="657">
        <v>3032503</v>
      </c>
      <c r="U1141" s="657">
        <v>342927</v>
      </c>
      <c r="V1141" s="655">
        <v>2021</v>
      </c>
      <c r="W1141" s="659"/>
      <c r="X1141" s="660">
        <f t="shared" si="53"/>
        <v>8.84299865569057</v>
      </c>
      <c r="Y1141" s="661" t="str">
        <f t="shared" si="51"/>
        <v/>
      </c>
      <c r="Z1141" s="661" t="str">
        <f t="shared" si="52"/>
        <v/>
      </c>
    </row>
    <row r="1142" spans="1:26" s="128" customFormat="1" ht="25" hidden="1">
      <c r="A1142" s="655">
        <v>57003</v>
      </c>
      <c r="B1142" s="656" t="s">
        <v>33</v>
      </c>
      <c r="C1142" s="655" t="s">
        <v>2793</v>
      </c>
      <c r="D1142" s="656" t="s">
        <v>1071</v>
      </c>
      <c r="E1142" s="656" t="s">
        <v>1016</v>
      </c>
      <c r="F1142" s="655">
        <v>50158</v>
      </c>
      <c r="G1142" s="656" t="s">
        <v>57</v>
      </c>
      <c r="H1142" s="656" t="s">
        <v>1182</v>
      </c>
      <c r="I1142" s="656" t="s">
        <v>58</v>
      </c>
      <c r="J1142" s="655">
        <v>22</v>
      </c>
      <c r="K1142" s="655">
        <v>2</v>
      </c>
      <c r="L1142" s="656" t="s">
        <v>52</v>
      </c>
      <c r="M1142" s="656" t="s">
        <v>51</v>
      </c>
      <c r="N1142" s="656" t="s">
        <v>63</v>
      </c>
      <c r="O1142" s="656" t="s">
        <v>64</v>
      </c>
      <c r="P1142" s="656" t="s">
        <v>1037</v>
      </c>
      <c r="Q1142" s="657">
        <v>295583</v>
      </c>
      <c r="R1142" s="657">
        <v>295583</v>
      </c>
      <c r="S1142" s="657">
        <v>154000</v>
      </c>
      <c r="T1142" s="657">
        <v>154000</v>
      </c>
      <c r="U1142" s="657">
        <v>13368</v>
      </c>
      <c r="V1142" s="655">
        <v>2021</v>
      </c>
      <c r="W1142" s="659"/>
      <c r="X1142" s="660">
        <f t="shared" si="53"/>
        <v>11.520047875523639</v>
      </c>
      <c r="Y1142" s="661" t="str">
        <f t="shared" si="51"/>
        <v/>
      </c>
      <c r="Z1142" s="661" t="str">
        <f t="shared" si="52"/>
        <v/>
      </c>
    </row>
    <row r="1143" spans="1:26" s="128" customFormat="1" ht="25" hidden="1">
      <c r="A1143" s="655">
        <v>57016</v>
      </c>
      <c r="B1143" s="656" t="s">
        <v>33</v>
      </c>
      <c r="C1143" s="655" t="s">
        <v>2793</v>
      </c>
      <c r="D1143" s="656" t="s">
        <v>1072</v>
      </c>
      <c r="E1143" s="656" t="s">
        <v>902</v>
      </c>
      <c r="F1143" s="655">
        <v>54842</v>
      </c>
      <c r="G1143" s="656" t="s">
        <v>90</v>
      </c>
      <c r="H1143" s="656" t="s">
        <v>1183</v>
      </c>
      <c r="I1143" s="656" t="s">
        <v>58</v>
      </c>
      <c r="J1143" s="655">
        <v>22</v>
      </c>
      <c r="K1143" s="655">
        <v>2</v>
      </c>
      <c r="L1143" s="656" t="s">
        <v>52</v>
      </c>
      <c r="M1143" s="656" t="s">
        <v>51</v>
      </c>
      <c r="N1143" s="656" t="s">
        <v>63</v>
      </c>
      <c r="O1143" s="656" t="s">
        <v>64</v>
      </c>
      <c r="P1143" s="656" t="s">
        <v>1037</v>
      </c>
      <c r="Q1143" s="657">
        <v>465059</v>
      </c>
      <c r="R1143" s="657">
        <v>465059</v>
      </c>
      <c r="S1143" s="657">
        <v>201370</v>
      </c>
      <c r="T1143" s="657">
        <v>201370</v>
      </c>
      <c r="U1143" s="657">
        <v>21733</v>
      </c>
      <c r="V1143" s="655">
        <v>2021</v>
      </c>
      <c r="W1143" s="659"/>
      <c r="X1143" s="660">
        <f t="shared" si="53"/>
        <v>9.2656329084801907</v>
      </c>
      <c r="Y1143" s="661" t="str">
        <f t="shared" si="51"/>
        <v/>
      </c>
      <c r="Z1143" s="661" t="str">
        <f t="shared" si="52"/>
        <v/>
      </c>
    </row>
    <row r="1144" spans="1:26" s="128" customFormat="1" ht="25" hidden="1">
      <c r="A1144" s="655">
        <v>57021</v>
      </c>
      <c r="B1144" s="656" t="s">
        <v>33</v>
      </c>
      <c r="C1144" s="655" t="s">
        <v>2793</v>
      </c>
      <c r="D1144" s="656" t="s">
        <v>1073</v>
      </c>
      <c r="E1144" s="656" t="s">
        <v>902</v>
      </c>
      <c r="F1144" s="655">
        <v>54842</v>
      </c>
      <c r="G1144" s="656" t="s">
        <v>57</v>
      </c>
      <c r="H1144" s="656" t="s">
        <v>1182</v>
      </c>
      <c r="I1144" s="656" t="s">
        <v>58</v>
      </c>
      <c r="J1144" s="655">
        <v>22</v>
      </c>
      <c r="K1144" s="655">
        <v>2</v>
      </c>
      <c r="L1144" s="656" t="s">
        <v>52</v>
      </c>
      <c r="M1144" s="656" t="s">
        <v>51</v>
      </c>
      <c r="N1144" s="656" t="s">
        <v>63</v>
      </c>
      <c r="O1144" s="656" t="s">
        <v>64</v>
      </c>
      <c r="P1144" s="656" t="s">
        <v>1037</v>
      </c>
      <c r="Q1144" s="657">
        <v>93225</v>
      </c>
      <c r="R1144" s="657">
        <v>93225</v>
      </c>
      <c r="S1144" s="657">
        <v>45959</v>
      </c>
      <c r="T1144" s="657">
        <v>45959</v>
      </c>
      <c r="U1144" s="657">
        <v>3612</v>
      </c>
      <c r="V1144" s="655">
        <v>2021</v>
      </c>
      <c r="W1144" s="659"/>
      <c r="X1144" s="660">
        <f t="shared" si="53"/>
        <v>12.723975636766335</v>
      </c>
      <c r="Y1144" s="661" t="str">
        <f t="shared" si="51"/>
        <v/>
      </c>
      <c r="Z1144" s="661" t="str">
        <f t="shared" si="52"/>
        <v/>
      </c>
    </row>
    <row r="1145" spans="1:26" s="128" customFormat="1" hidden="1">
      <c r="A1145" s="655">
        <v>57068</v>
      </c>
      <c r="B1145" s="656" t="s">
        <v>33</v>
      </c>
      <c r="C1145" s="655" t="s">
        <v>2793</v>
      </c>
      <c r="D1145" s="656" t="s">
        <v>1124</v>
      </c>
      <c r="E1145" s="656" t="s">
        <v>1124</v>
      </c>
      <c r="F1145" s="655">
        <v>56354</v>
      </c>
      <c r="G1145" s="656" t="s">
        <v>41</v>
      </c>
      <c r="H1145" s="656" t="s">
        <v>1183</v>
      </c>
      <c r="I1145" s="656" t="s">
        <v>58</v>
      </c>
      <c r="J1145" s="655">
        <v>22</v>
      </c>
      <c r="K1145" s="655">
        <v>2</v>
      </c>
      <c r="L1145" s="656" t="s">
        <v>52</v>
      </c>
      <c r="M1145" s="656" t="s">
        <v>50</v>
      </c>
      <c r="N1145" s="656" t="s">
        <v>46</v>
      </c>
      <c r="O1145" s="656" t="s">
        <v>46</v>
      </c>
      <c r="P1145" s="656" t="s">
        <v>47</v>
      </c>
      <c r="Q1145" s="657">
        <v>0</v>
      </c>
      <c r="R1145" s="657">
        <v>0</v>
      </c>
      <c r="S1145" s="657">
        <v>0</v>
      </c>
      <c r="T1145" s="657">
        <v>0</v>
      </c>
      <c r="U1145" s="657">
        <v>0</v>
      </c>
      <c r="V1145" s="655">
        <v>2021</v>
      </c>
      <c r="W1145" s="659"/>
      <c r="X1145" s="660" t="str">
        <f t="shared" si="53"/>
        <v/>
      </c>
      <c r="Y1145" s="661" t="str">
        <f t="shared" si="51"/>
        <v/>
      </c>
      <c r="Z1145" s="661" t="str">
        <f t="shared" si="52"/>
        <v/>
      </c>
    </row>
    <row r="1146" spans="1:26" s="128" customFormat="1" hidden="1">
      <c r="A1146" s="655">
        <v>57068</v>
      </c>
      <c r="B1146" s="656" t="s">
        <v>33</v>
      </c>
      <c r="C1146" s="655" t="s">
        <v>2793</v>
      </c>
      <c r="D1146" s="656" t="s">
        <v>1124</v>
      </c>
      <c r="E1146" s="656" t="s">
        <v>1124</v>
      </c>
      <c r="F1146" s="655">
        <v>56354</v>
      </c>
      <c r="G1146" s="656" t="s">
        <v>41</v>
      </c>
      <c r="H1146" s="656" t="s">
        <v>1183</v>
      </c>
      <c r="I1146" s="656" t="s">
        <v>58</v>
      </c>
      <c r="J1146" s="655">
        <v>22</v>
      </c>
      <c r="K1146" s="655">
        <v>2</v>
      </c>
      <c r="L1146" s="656" t="s">
        <v>52</v>
      </c>
      <c r="M1146" s="656" t="s">
        <v>50</v>
      </c>
      <c r="N1146" s="656" t="s">
        <v>76</v>
      </c>
      <c r="O1146" s="656" t="s">
        <v>67</v>
      </c>
      <c r="P1146" s="656" t="s">
        <v>47</v>
      </c>
      <c r="Q1146" s="657">
        <v>11516</v>
      </c>
      <c r="R1146" s="657">
        <v>11516</v>
      </c>
      <c r="S1146" s="657">
        <v>64491</v>
      </c>
      <c r="T1146" s="657">
        <v>64491</v>
      </c>
      <c r="U1146" s="657">
        <v>3607.2629999999999</v>
      </c>
      <c r="V1146" s="655">
        <v>2021</v>
      </c>
      <c r="W1146" s="659"/>
      <c r="X1146" s="660">
        <f t="shared" si="53"/>
        <v>17.878097604749087</v>
      </c>
      <c r="Y1146" s="661" t="str">
        <f t="shared" si="51"/>
        <v/>
      </c>
      <c r="Z1146" s="661" t="str">
        <f t="shared" si="52"/>
        <v/>
      </c>
    </row>
    <row r="1147" spans="1:26" s="128" customFormat="1" hidden="1">
      <c r="A1147" s="655">
        <v>57068</v>
      </c>
      <c r="B1147" s="656" t="s">
        <v>33</v>
      </c>
      <c r="C1147" s="655" t="s">
        <v>2793</v>
      </c>
      <c r="D1147" s="656" t="s">
        <v>1124</v>
      </c>
      <c r="E1147" s="656" t="s">
        <v>1124</v>
      </c>
      <c r="F1147" s="655">
        <v>56354</v>
      </c>
      <c r="G1147" s="656" t="s">
        <v>41</v>
      </c>
      <c r="H1147" s="656" t="s">
        <v>1183</v>
      </c>
      <c r="I1147" s="656" t="s">
        <v>58</v>
      </c>
      <c r="J1147" s="655">
        <v>22</v>
      </c>
      <c r="K1147" s="655">
        <v>2</v>
      </c>
      <c r="L1147" s="656" t="s">
        <v>52</v>
      </c>
      <c r="M1147" s="656" t="s">
        <v>50</v>
      </c>
      <c r="N1147" s="656" t="s">
        <v>39</v>
      </c>
      <c r="O1147" s="656" t="s">
        <v>39</v>
      </c>
      <c r="P1147" s="656" t="s">
        <v>1037</v>
      </c>
      <c r="Q1147" s="657">
        <v>26326</v>
      </c>
      <c r="R1147" s="657">
        <v>26326</v>
      </c>
      <c r="S1147" s="657">
        <v>27116</v>
      </c>
      <c r="T1147" s="657">
        <v>27116</v>
      </c>
      <c r="U1147" s="657">
        <v>1516.7370000000001</v>
      </c>
      <c r="V1147" s="655">
        <v>2021</v>
      </c>
      <c r="W1147" s="659"/>
      <c r="X1147" s="660">
        <f t="shared" si="53"/>
        <v>17.877852257840349</v>
      </c>
      <c r="Y1147" s="661" t="str">
        <f t="shared" si="51"/>
        <v/>
      </c>
      <c r="Z1147" s="661" t="str">
        <f t="shared" si="52"/>
        <v/>
      </c>
    </row>
    <row r="1148" spans="1:26" s="128" customFormat="1" hidden="1">
      <c r="A1148" s="655">
        <v>57070</v>
      </c>
      <c r="B1148" s="656" t="s">
        <v>33</v>
      </c>
      <c r="C1148" s="655" t="s">
        <v>2793</v>
      </c>
      <c r="D1148" s="656" t="s">
        <v>1074</v>
      </c>
      <c r="E1148" s="656" t="s">
        <v>1074</v>
      </c>
      <c r="F1148" s="655">
        <v>56352</v>
      </c>
      <c r="G1148" s="656" t="s">
        <v>41</v>
      </c>
      <c r="H1148" s="656" t="s">
        <v>1183</v>
      </c>
      <c r="I1148" s="656" t="s">
        <v>58</v>
      </c>
      <c r="J1148" s="655">
        <v>22</v>
      </c>
      <c r="K1148" s="655">
        <v>2</v>
      </c>
      <c r="L1148" s="656" t="s">
        <v>52</v>
      </c>
      <c r="M1148" s="656" t="s">
        <v>50</v>
      </c>
      <c r="N1148" s="656" t="s">
        <v>43</v>
      </c>
      <c r="O1148" s="656" t="s">
        <v>44</v>
      </c>
      <c r="P1148" s="656" t="s">
        <v>45</v>
      </c>
      <c r="Q1148" s="657">
        <v>0</v>
      </c>
      <c r="R1148" s="657">
        <v>0</v>
      </c>
      <c r="S1148" s="657">
        <v>0</v>
      </c>
      <c r="T1148" s="657">
        <v>0</v>
      </c>
      <c r="U1148" s="657">
        <v>0</v>
      </c>
      <c r="V1148" s="655">
        <v>2021</v>
      </c>
      <c r="W1148" s="659"/>
      <c r="X1148" s="660" t="str">
        <f t="shared" si="53"/>
        <v/>
      </c>
      <c r="Y1148" s="661" t="str">
        <f t="shared" si="51"/>
        <v/>
      </c>
      <c r="Z1148" s="661" t="str">
        <f t="shared" si="52"/>
        <v/>
      </c>
    </row>
    <row r="1149" spans="1:26" s="128" customFormat="1" hidden="1">
      <c r="A1149" s="655">
        <v>57070</v>
      </c>
      <c r="B1149" s="656" t="s">
        <v>33</v>
      </c>
      <c r="C1149" s="655" t="s">
        <v>2793</v>
      </c>
      <c r="D1149" s="656" t="s">
        <v>1074</v>
      </c>
      <c r="E1149" s="656" t="s">
        <v>1074</v>
      </c>
      <c r="F1149" s="655">
        <v>56352</v>
      </c>
      <c r="G1149" s="656" t="s">
        <v>41</v>
      </c>
      <c r="H1149" s="656" t="s">
        <v>1183</v>
      </c>
      <c r="I1149" s="656" t="s">
        <v>58</v>
      </c>
      <c r="J1149" s="655">
        <v>22</v>
      </c>
      <c r="K1149" s="655">
        <v>2</v>
      </c>
      <c r="L1149" s="656" t="s">
        <v>52</v>
      </c>
      <c r="M1149" s="656" t="s">
        <v>50</v>
      </c>
      <c r="N1149" s="656" t="s">
        <v>46</v>
      </c>
      <c r="O1149" s="656" t="s">
        <v>46</v>
      </c>
      <c r="P1149" s="656" t="s">
        <v>47</v>
      </c>
      <c r="Q1149" s="657">
        <v>0</v>
      </c>
      <c r="R1149" s="657">
        <v>0</v>
      </c>
      <c r="S1149" s="657">
        <v>0</v>
      </c>
      <c r="T1149" s="657">
        <v>0</v>
      </c>
      <c r="U1149" s="657">
        <v>0</v>
      </c>
      <c r="V1149" s="655">
        <v>2021</v>
      </c>
      <c r="W1149" s="659"/>
      <c r="X1149" s="660" t="str">
        <f t="shared" si="53"/>
        <v/>
      </c>
      <c r="Y1149" s="661" t="str">
        <f t="shared" si="51"/>
        <v/>
      </c>
      <c r="Z1149" s="661" t="str">
        <f t="shared" si="52"/>
        <v/>
      </c>
    </row>
    <row r="1150" spans="1:26" s="128" customFormat="1" hidden="1">
      <c r="A1150" s="655">
        <v>57070</v>
      </c>
      <c r="B1150" s="656" t="s">
        <v>33</v>
      </c>
      <c r="C1150" s="655" t="s">
        <v>2793</v>
      </c>
      <c r="D1150" s="656" t="s">
        <v>1074</v>
      </c>
      <c r="E1150" s="656" t="s">
        <v>1074</v>
      </c>
      <c r="F1150" s="655">
        <v>56352</v>
      </c>
      <c r="G1150" s="656" t="s">
        <v>41</v>
      </c>
      <c r="H1150" s="656" t="s">
        <v>1183</v>
      </c>
      <c r="I1150" s="656" t="s">
        <v>58</v>
      </c>
      <c r="J1150" s="655">
        <v>22</v>
      </c>
      <c r="K1150" s="655">
        <v>2</v>
      </c>
      <c r="L1150" s="656" t="s">
        <v>52</v>
      </c>
      <c r="M1150" s="656" t="s">
        <v>50</v>
      </c>
      <c r="N1150" s="656" t="s">
        <v>76</v>
      </c>
      <c r="O1150" s="656" t="s">
        <v>67</v>
      </c>
      <c r="P1150" s="656" t="s">
        <v>47</v>
      </c>
      <c r="Q1150" s="657">
        <v>9902</v>
      </c>
      <c r="R1150" s="657">
        <v>9902</v>
      </c>
      <c r="S1150" s="657">
        <v>57679</v>
      </c>
      <c r="T1150" s="657">
        <v>57679</v>
      </c>
      <c r="U1150" s="657">
        <v>980</v>
      </c>
      <c r="V1150" s="655">
        <v>2021</v>
      </c>
      <c r="W1150" s="659"/>
      <c r="X1150" s="660">
        <f t="shared" si="53"/>
        <v>58.85612244897959</v>
      </c>
      <c r="Y1150" s="661" t="str">
        <f t="shared" si="51"/>
        <v/>
      </c>
      <c r="Z1150" s="661" t="str">
        <f t="shared" si="52"/>
        <v/>
      </c>
    </row>
    <row r="1151" spans="1:26" s="128" customFormat="1" hidden="1">
      <c r="A1151" s="655">
        <v>57070</v>
      </c>
      <c r="B1151" s="656" t="s">
        <v>33</v>
      </c>
      <c r="C1151" s="655" t="s">
        <v>2793</v>
      </c>
      <c r="D1151" s="656" t="s">
        <v>1074</v>
      </c>
      <c r="E1151" s="656" t="s">
        <v>1074</v>
      </c>
      <c r="F1151" s="655">
        <v>56352</v>
      </c>
      <c r="G1151" s="656" t="s">
        <v>41</v>
      </c>
      <c r="H1151" s="656" t="s">
        <v>1183</v>
      </c>
      <c r="I1151" s="656" t="s">
        <v>58</v>
      </c>
      <c r="J1151" s="655">
        <v>22</v>
      </c>
      <c r="K1151" s="655">
        <v>2</v>
      </c>
      <c r="L1151" s="656" t="s">
        <v>52</v>
      </c>
      <c r="M1151" s="656" t="s">
        <v>50</v>
      </c>
      <c r="N1151" s="656" t="s">
        <v>39</v>
      </c>
      <c r="O1151" s="656" t="s">
        <v>39</v>
      </c>
      <c r="P1151" s="656" t="s">
        <v>1037</v>
      </c>
      <c r="Q1151" s="657">
        <v>0</v>
      </c>
      <c r="R1151" s="657">
        <v>0</v>
      </c>
      <c r="S1151" s="657">
        <v>0</v>
      </c>
      <c r="T1151" s="657">
        <v>0</v>
      </c>
      <c r="U1151" s="657">
        <v>0</v>
      </c>
      <c r="V1151" s="655">
        <v>2021</v>
      </c>
      <c r="W1151" s="659"/>
      <c r="X1151" s="660" t="str">
        <f t="shared" si="53"/>
        <v/>
      </c>
      <c r="Y1151" s="661" t="str">
        <f t="shared" si="51"/>
        <v/>
      </c>
      <c r="Z1151" s="661" t="str">
        <f t="shared" si="52"/>
        <v/>
      </c>
    </row>
    <row r="1152" spans="1:26" s="128" customFormat="1" hidden="1">
      <c r="A1152" s="655">
        <v>57078</v>
      </c>
      <c r="B1152" s="656" t="s">
        <v>33</v>
      </c>
      <c r="C1152" s="655" t="s">
        <v>2793</v>
      </c>
      <c r="D1152" s="656" t="s">
        <v>1202</v>
      </c>
      <c r="E1152" s="656" t="s">
        <v>3120</v>
      </c>
      <c r="F1152" s="655">
        <v>59155</v>
      </c>
      <c r="G1152" s="656" t="s">
        <v>57</v>
      </c>
      <c r="H1152" s="656" t="s">
        <v>1182</v>
      </c>
      <c r="I1152" s="656" t="s">
        <v>58</v>
      </c>
      <c r="J1152" s="655">
        <v>22</v>
      </c>
      <c r="K1152" s="655">
        <v>2</v>
      </c>
      <c r="L1152" s="656" t="s">
        <v>52</v>
      </c>
      <c r="M1152" s="656" t="s">
        <v>71</v>
      </c>
      <c r="N1152" s="656" t="s">
        <v>72</v>
      </c>
      <c r="O1152" s="656" t="s">
        <v>72</v>
      </c>
      <c r="P1152" s="656" t="s">
        <v>1176</v>
      </c>
      <c r="Q1152" s="657">
        <v>0</v>
      </c>
      <c r="R1152" s="657">
        <v>0</v>
      </c>
      <c r="S1152" s="657">
        <v>542208</v>
      </c>
      <c r="T1152" s="657">
        <v>542208</v>
      </c>
      <c r="U1152" s="657">
        <v>61315</v>
      </c>
      <c r="V1152" s="655">
        <v>2021</v>
      </c>
      <c r="W1152" s="659"/>
      <c r="X1152" s="660">
        <f t="shared" si="53"/>
        <v>8.8429911114735376</v>
      </c>
      <c r="Y1152" s="661" t="str">
        <f t="shared" si="51"/>
        <v/>
      </c>
      <c r="Z1152" s="661" t="str">
        <f t="shared" si="52"/>
        <v/>
      </c>
    </row>
    <row r="1153" spans="1:26" s="128" customFormat="1" hidden="1">
      <c r="A1153" s="655">
        <v>57080</v>
      </c>
      <c r="B1153" s="656" t="s">
        <v>33</v>
      </c>
      <c r="C1153" s="655" t="s">
        <v>2793</v>
      </c>
      <c r="D1153" s="656" t="s">
        <v>1125</v>
      </c>
      <c r="E1153" s="656" t="s">
        <v>3120</v>
      </c>
      <c r="F1153" s="655">
        <v>59155</v>
      </c>
      <c r="G1153" s="656" t="s">
        <v>89</v>
      </c>
      <c r="H1153" s="656" t="s">
        <v>1183</v>
      </c>
      <c r="I1153" s="656" t="s">
        <v>58</v>
      </c>
      <c r="J1153" s="655">
        <v>22</v>
      </c>
      <c r="K1153" s="655">
        <v>2</v>
      </c>
      <c r="L1153" s="656" t="s">
        <v>52</v>
      </c>
      <c r="M1153" s="656" t="s">
        <v>71</v>
      </c>
      <c r="N1153" s="656" t="s">
        <v>72</v>
      </c>
      <c r="O1153" s="656" t="s">
        <v>72</v>
      </c>
      <c r="P1153" s="656" t="s">
        <v>1176</v>
      </c>
      <c r="Q1153" s="657">
        <v>0</v>
      </c>
      <c r="R1153" s="657">
        <v>0</v>
      </c>
      <c r="S1153" s="657">
        <v>543544</v>
      </c>
      <c r="T1153" s="657">
        <v>543544</v>
      </c>
      <c r="U1153" s="657">
        <v>61466</v>
      </c>
      <c r="V1153" s="655">
        <v>2021</v>
      </c>
      <c r="W1153" s="659"/>
      <c r="X1153" s="660">
        <f t="shared" si="53"/>
        <v>8.8430026356034226</v>
      </c>
      <c r="Y1153" s="661" t="str">
        <f t="shared" si="51"/>
        <v/>
      </c>
      <c r="Z1153" s="661" t="str">
        <f t="shared" si="52"/>
        <v/>
      </c>
    </row>
    <row r="1154" spans="1:26" s="128" customFormat="1" hidden="1">
      <c r="A1154" s="655">
        <v>57083</v>
      </c>
      <c r="B1154" s="656" t="s">
        <v>33</v>
      </c>
      <c r="C1154" s="655" t="s">
        <v>2793</v>
      </c>
      <c r="D1154" s="656" t="s">
        <v>1203</v>
      </c>
      <c r="E1154" s="656" t="s">
        <v>3120</v>
      </c>
      <c r="F1154" s="655">
        <v>59155</v>
      </c>
      <c r="G1154" s="656" t="s">
        <v>90</v>
      </c>
      <c r="H1154" s="656" t="s">
        <v>1183</v>
      </c>
      <c r="I1154" s="656" t="s">
        <v>58</v>
      </c>
      <c r="J1154" s="655">
        <v>22</v>
      </c>
      <c r="K1154" s="655">
        <v>2</v>
      </c>
      <c r="L1154" s="656" t="s">
        <v>52</v>
      </c>
      <c r="M1154" s="656" t="s">
        <v>71</v>
      </c>
      <c r="N1154" s="656" t="s">
        <v>72</v>
      </c>
      <c r="O1154" s="656" t="s">
        <v>72</v>
      </c>
      <c r="P1154" s="656" t="s">
        <v>1176</v>
      </c>
      <c r="Q1154" s="657">
        <v>0</v>
      </c>
      <c r="R1154" s="657">
        <v>0</v>
      </c>
      <c r="S1154" s="657">
        <v>837158</v>
      </c>
      <c r="T1154" s="657">
        <v>837158</v>
      </c>
      <c r="U1154" s="657">
        <v>94669</v>
      </c>
      <c r="V1154" s="655">
        <v>2021</v>
      </c>
      <c r="W1154" s="659"/>
      <c r="X1154" s="660">
        <f t="shared" si="53"/>
        <v>8.843000348582958</v>
      </c>
      <c r="Y1154" s="661" t="str">
        <f t="shared" si="51"/>
        <v/>
      </c>
      <c r="Z1154" s="661" t="str">
        <f t="shared" si="52"/>
        <v/>
      </c>
    </row>
    <row r="1155" spans="1:26" s="128" customFormat="1" hidden="1">
      <c r="A1155" s="655">
        <v>57130</v>
      </c>
      <c r="B1155" s="656" t="s">
        <v>33</v>
      </c>
      <c r="C1155" s="655" t="s">
        <v>2793</v>
      </c>
      <c r="D1155" s="656" t="s">
        <v>1034</v>
      </c>
      <c r="E1155" s="656" t="s">
        <v>1035</v>
      </c>
      <c r="F1155" s="655">
        <v>56439</v>
      </c>
      <c r="G1155" s="656" t="s">
        <v>90</v>
      </c>
      <c r="H1155" s="656" t="s">
        <v>1183</v>
      </c>
      <c r="I1155" s="656" t="s">
        <v>58</v>
      </c>
      <c r="J1155" s="655">
        <v>22</v>
      </c>
      <c r="K1155" s="655">
        <v>2</v>
      </c>
      <c r="L1155" s="656" t="s">
        <v>52</v>
      </c>
      <c r="M1155" s="656" t="s">
        <v>71</v>
      </c>
      <c r="N1155" s="656" t="s">
        <v>72</v>
      </c>
      <c r="O1155" s="656" t="s">
        <v>72</v>
      </c>
      <c r="P1155" s="656" t="s">
        <v>1176</v>
      </c>
      <c r="Q1155" s="657">
        <v>0</v>
      </c>
      <c r="R1155" s="657">
        <v>0</v>
      </c>
      <c r="S1155" s="657">
        <v>96672</v>
      </c>
      <c r="T1155" s="657">
        <v>96672</v>
      </c>
      <c r="U1155" s="657">
        <v>10932</v>
      </c>
      <c r="V1155" s="655">
        <v>2021</v>
      </c>
      <c r="W1155" s="659"/>
      <c r="X1155" s="660">
        <f t="shared" si="53"/>
        <v>8.8430296377607025</v>
      </c>
      <c r="Y1155" s="661" t="str">
        <f t="shared" si="51"/>
        <v/>
      </c>
      <c r="Z1155" s="661" t="str">
        <f t="shared" si="52"/>
        <v/>
      </c>
    </row>
    <row r="1156" spans="1:26" s="128" customFormat="1" ht="25" hidden="1">
      <c r="A1156" s="655">
        <v>57179</v>
      </c>
      <c r="B1156" s="656" t="s">
        <v>54</v>
      </c>
      <c r="C1156" s="655" t="s">
        <v>2793</v>
      </c>
      <c r="D1156" s="656" t="s">
        <v>1083</v>
      </c>
      <c r="E1156" s="656" t="s">
        <v>939</v>
      </c>
      <c r="F1156" s="655">
        <v>8153</v>
      </c>
      <c r="G1156" s="656" t="s">
        <v>41</v>
      </c>
      <c r="H1156" s="656" t="s">
        <v>1183</v>
      </c>
      <c r="I1156" s="656" t="s">
        <v>58</v>
      </c>
      <c r="J1156" s="655">
        <v>622</v>
      </c>
      <c r="K1156" s="655">
        <v>5</v>
      </c>
      <c r="L1156" s="656" t="s">
        <v>413</v>
      </c>
      <c r="M1156" s="656" t="s">
        <v>50</v>
      </c>
      <c r="N1156" s="656" t="s">
        <v>39</v>
      </c>
      <c r="O1156" s="656" t="s">
        <v>39</v>
      </c>
      <c r="P1156" s="656" t="s">
        <v>1037</v>
      </c>
      <c r="Q1156" s="657">
        <v>370316</v>
      </c>
      <c r="R1156" s="657">
        <v>123782</v>
      </c>
      <c r="S1156" s="657">
        <v>380316</v>
      </c>
      <c r="T1156" s="657">
        <v>127125</v>
      </c>
      <c r="U1156" s="657">
        <v>27530</v>
      </c>
      <c r="V1156" s="655">
        <v>2021</v>
      </c>
      <c r="W1156" s="659"/>
      <c r="X1156" s="660" t="str">
        <f t="shared" si="53"/>
        <v/>
      </c>
      <c r="Y1156" s="661">
        <f t="shared" si="51"/>
        <v>5.3133085584956268</v>
      </c>
      <c r="Z1156" s="661" t="str">
        <f t="shared" si="52"/>
        <v/>
      </c>
    </row>
    <row r="1157" spans="1:26" s="128" customFormat="1" ht="25" hidden="1">
      <c r="A1157" s="655">
        <v>57184</v>
      </c>
      <c r="B1157" s="656" t="s">
        <v>33</v>
      </c>
      <c r="C1157" s="655" t="s">
        <v>2793</v>
      </c>
      <c r="D1157" s="656" t="s">
        <v>1036</v>
      </c>
      <c r="E1157" s="656" t="s">
        <v>1567</v>
      </c>
      <c r="F1157" s="655">
        <v>59178</v>
      </c>
      <c r="G1157" s="656" t="s">
        <v>90</v>
      </c>
      <c r="H1157" s="656" t="s">
        <v>1183</v>
      </c>
      <c r="I1157" s="656" t="s">
        <v>58</v>
      </c>
      <c r="J1157" s="655">
        <v>22</v>
      </c>
      <c r="K1157" s="655">
        <v>2</v>
      </c>
      <c r="L1157" s="656" t="s">
        <v>52</v>
      </c>
      <c r="M1157" s="656" t="s">
        <v>35</v>
      </c>
      <c r="N1157" s="656" t="s">
        <v>36</v>
      </c>
      <c r="O1157" s="656" t="s">
        <v>37</v>
      </c>
      <c r="P1157" s="656" t="s">
        <v>1176</v>
      </c>
      <c r="Q1157" s="657">
        <v>0</v>
      </c>
      <c r="R1157" s="657">
        <v>0</v>
      </c>
      <c r="S1157" s="657">
        <v>111617</v>
      </c>
      <c r="T1157" s="657">
        <v>111617</v>
      </c>
      <c r="U1157" s="657">
        <v>12622</v>
      </c>
      <c r="V1157" s="655">
        <v>2021</v>
      </c>
      <c r="W1157" s="659"/>
      <c r="X1157" s="660">
        <f t="shared" si="53"/>
        <v>8.8430518142925045</v>
      </c>
      <c r="Y1157" s="661" t="str">
        <f t="shared" si="51"/>
        <v/>
      </c>
      <c r="Z1157" s="661" t="str">
        <f t="shared" si="52"/>
        <v/>
      </c>
    </row>
    <row r="1158" spans="1:26" s="128" customFormat="1" ht="25" hidden="1">
      <c r="A1158" s="655">
        <v>57185</v>
      </c>
      <c r="B1158" s="656" t="s">
        <v>33</v>
      </c>
      <c r="C1158" s="655" t="s">
        <v>2793</v>
      </c>
      <c r="D1158" s="656" t="s">
        <v>3129</v>
      </c>
      <c r="E1158" s="656" t="s">
        <v>3130</v>
      </c>
      <c r="F1158" s="655">
        <v>56534</v>
      </c>
      <c r="G1158" s="656" t="s">
        <v>57</v>
      </c>
      <c r="H1158" s="656" t="s">
        <v>1182</v>
      </c>
      <c r="I1158" s="656" t="s">
        <v>58</v>
      </c>
      <c r="J1158" s="655">
        <v>22</v>
      </c>
      <c r="K1158" s="655">
        <v>2</v>
      </c>
      <c r="L1158" s="656" t="s">
        <v>52</v>
      </c>
      <c r="M1158" s="656" t="s">
        <v>38</v>
      </c>
      <c r="N1158" s="656" t="s">
        <v>39</v>
      </c>
      <c r="O1158" s="656" t="s">
        <v>39</v>
      </c>
      <c r="P1158" s="656" t="s">
        <v>1037</v>
      </c>
      <c r="Q1158" s="657">
        <v>5089178</v>
      </c>
      <c r="R1158" s="657">
        <v>5089178</v>
      </c>
      <c r="S1158" s="657">
        <v>5248364</v>
      </c>
      <c r="T1158" s="657">
        <v>5248364</v>
      </c>
      <c r="U1158" s="657">
        <v>1808859</v>
      </c>
      <c r="V1158" s="655">
        <v>2021</v>
      </c>
      <c r="W1158" s="659" t="s">
        <v>3675</v>
      </c>
      <c r="X1158" s="660">
        <f t="shared" si="53"/>
        <v>2.9014776718362238</v>
      </c>
      <c r="Y1158" s="661" t="str">
        <f t="shared" si="51"/>
        <v/>
      </c>
      <c r="Z1158" s="661" t="str">
        <f t="shared" si="52"/>
        <v/>
      </c>
    </row>
    <row r="1159" spans="1:26" s="128" customFormat="1" ht="25" hidden="1">
      <c r="A1159" s="655">
        <v>57185</v>
      </c>
      <c r="B1159" s="656" t="s">
        <v>33</v>
      </c>
      <c r="C1159" s="655" t="s">
        <v>2793</v>
      </c>
      <c r="D1159" s="656" t="s">
        <v>3129</v>
      </c>
      <c r="E1159" s="656" t="s">
        <v>3130</v>
      </c>
      <c r="F1159" s="655">
        <v>56534</v>
      </c>
      <c r="G1159" s="656" t="s">
        <v>57</v>
      </c>
      <c r="H1159" s="656" t="s">
        <v>1182</v>
      </c>
      <c r="I1159" s="656" t="s">
        <v>58</v>
      </c>
      <c r="J1159" s="655">
        <v>22</v>
      </c>
      <c r="K1159" s="655">
        <v>2</v>
      </c>
      <c r="L1159" s="656" t="s">
        <v>52</v>
      </c>
      <c r="M1159" s="656" t="s">
        <v>41</v>
      </c>
      <c r="N1159" s="656" t="s">
        <v>39</v>
      </c>
      <c r="O1159" s="656" t="s">
        <v>39</v>
      </c>
      <c r="P1159" s="656" t="s">
        <v>1037</v>
      </c>
      <c r="Q1159" s="657">
        <v>28466669</v>
      </c>
      <c r="R1159" s="657">
        <v>28466669</v>
      </c>
      <c r="S1159" s="657">
        <v>29516498</v>
      </c>
      <c r="T1159" s="657">
        <v>29516498</v>
      </c>
      <c r="U1159" s="657">
        <v>3195129</v>
      </c>
      <c r="V1159" s="655">
        <v>2021</v>
      </c>
      <c r="W1159" s="659" t="s">
        <v>3675</v>
      </c>
      <c r="X1159" s="660">
        <f t="shared" si="53"/>
        <v>9.2379675437204565</v>
      </c>
      <c r="Y1159" s="661" t="str">
        <f t="shared" ref="Y1159:Y1222" si="54">IF(AND($M1159=$Y$2,$N1159=$Y$3,NOT($Q1159=$R1159),NOT($U1159=0)),IF($K1159=5,$S1159/($U1159+(8/5)*$U1159),IF($K1159=7,$S1159/($U1159+(29/25)*$U1159),"")),"")</f>
        <v/>
      </c>
      <c r="Z1159" s="661" t="str">
        <f t="shared" ref="Z1159:Z1222" si="55">IF(AND($M1159=$Y$2,$N1159=$Y$4,NOT($Q1159=$R1159),NOT($U1159=0)),IF($K1159=5,$S1159/($U1159+(8/5)*$U1159),IF($K1159=7,$S1159/($U1159+(29/25)*$U1159),"")),"")</f>
        <v/>
      </c>
    </row>
    <row r="1160" spans="1:26" s="128" customFormat="1" ht="25" hidden="1">
      <c r="A1160" s="655">
        <v>57186</v>
      </c>
      <c r="B1160" s="656" t="s">
        <v>33</v>
      </c>
      <c r="C1160" s="655" t="s">
        <v>2793</v>
      </c>
      <c r="D1160" s="656" t="s">
        <v>1075</v>
      </c>
      <c r="E1160" s="656" t="s">
        <v>3131</v>
      </c>
      <c r="F1160" s="655">
        <v>64137</v>
      </c>
      <c r="G1160" s="656" t="s">
        <v>57</v>
      </c>
      <c r="H1160" s="656" t="s">
        <v>1182</v>
      </c>
      <c r="I1160" s="656" t="s">
        <v>58</v>
      </c>
      <c r="J1160" s="655">
        <v>22</v>
      </c>
      <c r="K1160" s="655">
        <v>2</v>
      </c>
      <c r="L1160" s="656" t="s">
        <v>52</v>
      </c>
      <c r="M1160" s="656" t="s">
        <v>51</v>
      </c>
      <c r="N1160" s="656" t="s">
        <v>63</v>
      </c>
      <c r="O1160" s="656" t="s">
        <v>64</v>
      </c>
      <c r="P1160" s="656" t="s">
        <v>1037</v>
      </c>
      <c r="Q1160" s="657">
        <v>808022</v>
      </c>
      <c r="R1160" s="657">
        <v>808022</v>
      </c>
      <c r="S1160" s="657">
        <v>425827</v>
      </c>
      <c r="T1160" s="657">
        <v>425827</v>
      </c>
      <c r="U1160" s="657">
        <v>38848</v>
      </c>
      <c r="V1160" s="655">
        <v>2021</v>
      </c>
      <c r="W1160" s="659"/>
      <c r="X1160" s="660">
        <f t="shared" ref="X1160:X1223" si="56">IF(OR(K1160&gt;3,T1160=0,NOT(U1160&gt;0)),"",T1160/U1160)</f>
        <v>10.96136223228995</v>
      </c>
      <c r="Y1160" s="661" t="str">
        <f t="shared" si="54"/>
        <v/>
      </c>
      <c r="Z1160" s="661" t="str">
        <f t="shared" si="55"/>
        <v/>
      </c>
    </row>
    <row r="1161" spans="1:26" s="128" customFormat="1" ht="25">
      <c r="A1161" s="655">
        <v>57253</v>
      </c>
      <c r="B1161" s="656" t="s">
        <v>33</v>
      </c>
      <c r="C1161" s="655" t="s">
        <v>2793</v>
      </c>
      <c r="D1161" s="656" t="s">
        <v>1076</v>
      </c>
      <c r="E1161" s="656" t="s">
        <v>1601</v>
      </c>
      <c r="F1161" s="655">
        <v>56619</v>
      </c>
      <c r="G1161" s="656" t="s">
        <v>81</v>
      </c>
      <c r="H1161" s="656" t="s">
        <v>1183</v>
      </c>
      <c r="I1161" s="656" t="s">
        <v>58</v>
      </c>
      <c r="J1161" s="655">
        <v>22</v>
      </c>
      <c r="K1161" s="655">
        <v>2</v>
      </c>
      <c r="L1161" s="656" t="s">
        <v>52</v>
      </c>
      <c r="M1161" s="656" t="s">
        <v>71</v>
      </c>
      <c r="N1161" s="656" t="s">
        <v>72</v>
      </c>
      <c r="O1161" s="656" t="s">
        <v>72</v>
      </c>
      <c r="P1161" s="656" t="s">
        <v>1176</v>
      </c>
      <c r="Q1161" s="657">
        <v>0</v>
      </c>
      <c r="R1161" s="657">
        <v>0</v>
      </c>
      <c r="S1161" s="657">
        <v>69248</v>
      </c>
      <c r="T1161" s="657">
        <v>69248</v>
      </c>
      <c r="U1161" s="657">
        <v>7831</v>
      </c>
      <c r="V1161" s="655">
        <v>2021</v>
      </c>
      <c r="W1161" s="659"/>
      <c r="X1161" s="660">
        <f t="shared" si="56"/>
        <v>8.8428042395607207</v>
      </c>
      <c r="Y1161" s="661" t="str">
        <f t="shared" si="54"/>
        <v/>
      </c>
      <c r="Z1161" s="661" t="str">
        <f t="shared" si="55"/>
        <v/>
      </c>
    </row>
    <row r="1162" spans="1:26" s="128" customFormat="1">
      <c r="A1162" s="655">
        <v>57265</v>
      </c>
      <c r="B1162" s="656" t="s">
        <v>33</v>
      </c>
      <c r="C1162" s="655" t="s">
        <v>2793</v>
      </c>
      <c r="D1162" s="656" t="s">
        <v>1204</v>
      </c>
      <c r="E1162" s="656" t="s">
        <v>1078</v>
      </c>
      <c r="F1162" s="655">
        <v>11804</v>
      </c>
      <c r="G1162" s="656" t="s">
        <v>81</v>
      </c>
      <c r="H1162" s="656" t="s">
        <v>1183</v>
      </c>
      <c r="I1162" s="656" t="s">
        <v>58</v>
      </c>
      <c r="J1162" s="655">
        <v>22</v>
      </c>
      <c r="K1162" s="655">
        <v>1</v>
      </c>
      <c r="L1162" s="656" t="s">
        <v>34</v>
      </c>
      <c r="M1162" s="656" t="s">
        <v>448</v>
      </c>
      <c r="N1162" s="656" t="s">
        <v>449</v>
      </c>
      <c r="O1162" s="656" t="s">
        <v>449</v>
      </c>
      <c r="P1162" s="656" t="s">
        <v>1176</v>
      </c>
      <c r="Q1162" s="657">
        <v>0</v>
      </c>
      <c r="R1162" s="657">
        <v>0</v>
      </c>
      <c r="S1162" s="657">
        <v>13432</v>
      </c>
      <c r="T1162" s="657">
        <v>13432</v>
      </c>
      <c r="U1162" s="657">
        <v>1519</v>
      </c>
      <c r="V1162" s="655">
        <v>2021</v>
      </c>
      <c r="W1162" s="659"/>
      <c r="X1162" s="660">
        <f t="shared" si="56"/>
        <v>8.8426596445029624</v>
      </c>
      <c r="Y1162" s="661" t="str">
        <f t="shared" si="54"/>
        <v/>
      </c>
      <c r="Z1162" s="661" t="str">
        <f t="shared" si="55"/>
        <v/>
      </c>
    </row>
    <row r="1163" spans="1:26" s="128" customFormat="1" ht="25">
      <c r="A1163" s="655">
        <v>57269</v>
      </c>
      <c r="B1163" s="656" t="s">
        <v>33</v>
      </c>
      <c r="C1163" s="655" t="s">
        <v>2793</v>
      </c>
      <c r="D1163" s="656" t="s">
        <v>1077</v>
      </c>
      <c r="E1163" s="656" t="s">
        <v>1078</v>
      </c>
      <c r="F1163" s="655">
        <v>11804</v>
      </c>
      <c r="G1163" s="656" t="s">
        <v>81</v>
      </c>
      <c r="H1163" s="656" t="s">
        <v>1183</v>
      </c>
      <c r="I1163" s="656" t="s">
        <v>58</v>
      </c>
      <c r="J1163" s="655">
        <v>22</v>
      </c>
      <c r="K1163" s="655">
        <v>1</v>
      </c>
      <c r="L1163" s="656" t="s">
        <v>34</v>
      </c>
      <c r="M1163" s="656" t="s">
        <v>448</v>
      </c>
      <c r="N1163" s="656" t="s">
        <v>449</v>
      </c>
      <c r="O1163" s="656" t="s">
        <v>449</v>
      </c>
      <c r="P1163" s="656" t="s">
        <v>1176</v>
      </c>
      <c r="Q1163" s="657">
        <v>0</v>
      </c>
      <c r="R1163" s="657">
        <v>0</v>
      </c>
      <c r="S1163" s="657">
        <v>10479</v>
      </c>
      <c r="T1163" s="657">
        <v>10479</v>
      </c>
      <c r="U1163" s="657">
        <v>1185</v>
      </c>
      <c r="V1163" s="655">
        <v>2021</v>
      </c>
      <c r="W1163" s="659"/>
      <c r="X1163" s="660">
        <f t="shared" si="56"/>
        <v>8.8430379746835435</v>
      </c>
      <c r="Y1163" s="661" t="str">
        <f t="shared" si="54"/>
        <v/>
      </c>
      <c r="Z1163" s="661" t="str">
        <f t="shared" si="55"/>
        <v/>
      </c>
    </row>
    <row r="1164" spans="1:26" s="128" customFormat="1">
      <c r="A1164" s="655">
        <v>57270</v>
      </c>
      <c r="B1164" s="656" t="s">
        <v>33</v>
      </c>
      <c r="C1164" s="655" t="s">
        <v>2793</v>
      </c>
      <c r="D1164" s="656" t="s">
        <v>1079</v>
      </c>
      <c r="E1164" s="656" t="s">
        <v>1078</v>
      </c>
      <c r="F1164" s="655">
        <v>11804</v>
      </c>
      <c r="G1164" s="656" t="s">
        <v>81</v>
      </c>
      <c r="H1164" s="656" t="s">
        <v>1183</v>
      </c>
      <c r="I1164" s="656" t="s">
        <v>58</v>
      </c>
      <c r="J1164" s="655">
        <v>22</v>
      </c>
      <c r="K1164" s="655">
        <v>1</v>
      </c>
      <c r="L1164" s="656" t="s">
        <v>34</v>
      </c>
      <c r="M1164" s="656" t="s">
        <v>448</v>
      </c>
      <c r="N1164" s="656" t="s">
        <v>449</v>
      </c>
      <c r="O1164" s="656" t="s">
        <v>449</v>
      </c>
      <c r="P1164" s="656" t="s">
        <v>1176</v>
      </c>
      <c r="Q1164" s="657">
        <v>0</v>
      </c>
      <c r="R1164" s="657">
        <v>0</v>
      </c>
      <c r="S1164" s="657">
        <v>8833</v>
      </c>
      <c r="T1164" s="657">
        <v>8833</v>
      </c>
      <c r="U1164" s="657">
        <v>999</v>
      </c>
      <c r="V1164" s="655">
        <v>2021</v>
      </c>
      <c r="W1164" s="659"/>
      <c r="X1164" s="660">
        <f t="shared" si="56"/>
        <v>8.8418418418418412</v>
      </c>
      <c r="Y1164" s="661" t="str">
        <f t="shared" si="54"/>
        <v/>
      </c>
      <c r="Z1164" s="661" t="str">
        <f t="shared" si="55"/>
        <v/>
      </c>
    </row>
    <row r="1165" spans="1:26" s="128" customFormat="1" ht="25" hidden="1">
      <c r="A1165" s="655">
        <v>57287</v>
      </c>
      <c r="B1165" s="656" t="s">
        <v>33</v>
      </c>
      <c r="C1165" s="655" t="s">
        <v>2793</v>
      </c>
      <c r="D1165" s="656" t="s">
        <v>1126</v>
      </c>
      <c r="E1165" s="656" t="s">
        <v>1913</v>
      </c>
      <c r="F1165" s="655">
        <v>15399</v>
      </c>
      <c r="G1165" s="656" t="s">
        <v>57</v>
      </c>
      <c r="H1165" s="656" t="s">
        <v>1182</v>
      </c>
      <c r="I1165" s="656" t="s">
        <v>58</v>
      </c>
      <c r="J1165" s="655">
        <v>22</v>
      </c>
      <c r="K1165" s="655">
        <v>2</v>
      </c>
      <c r="L1165" s="656" t="s">
        <v>52</v>
      </c>
      <c r="M1165" s="656" t="s">
        <v>71</v>
      </c>
      <c r="N1165" s="656" t="s">
        <v>72</v>
      </c>
      <c r="O1165" s="656" t="s">
        <v>72</v>
      </c>
      <c r="P1165" s="656" t="s">
        <v>1176</v>
      </c>
      <c r="Q1165" s="657">
        <v>0</v>
      </c>
      <c r="R1165" s="657">
        <v>0</v>
      </c>
      <c r="S1165" s="657">
        <v>1403977</v>
      </c>
      <c r="T1165" s="657">
        <v>1403977</v>
      </c>
      <c r="U1165" s="657">
        <v>158767</v>
      </c>
      <c r="V1165" s="655">
        <v>2021</v>
      </c>
      <c r="W1165" s="659"/>
      <c r="X1165" s="660">
        <f t="shared" si="56"/>
        <v>8.8430026390874676</v>
      </c>
      <c r="Y1165" s="661" t="str">
        <f t="shared" si="54"/>
        <v/>
      </c>
      <c r="Z1165" s="661" t="str">
        <f t="shared" si="55"/>
        <v/>
      </c>
    </row>
    <row r="1166" spans="1:26" s="128" customFormat="1" hidden="1">
      <c r="A1166" s="655">
        <v>57354</v>
      </c>
      <c r="B1166" s="656" t="s">
        <v>33</v>
      </c>
      <c r="C1166" s="655" t="s">
        <v>2793</v>
      </c>
      <c r="D1166" s="656" t="s">
        <v>1080</v>
      </c>
      <c r="E1166" s="656" t="s">
        <v>1080</v>
      </c>
      <c r="F1166" s="655">
        <v>56693</v>
      </c>
      <c r="G1166" s="656" t="s">
        <v>90</v>
      </c>
      <c r="H1166" s="656" t="s">
        <v>1183</v>
      </c>
      <c r="I1166" s="656" t="s">
        <v>58</v>
      </c>
      <c r="J1166" s="655">
        <v>22</v>
      </c>
      <c r="K1166" s="655">
        <v>2</v>
      </c>
      <c r="L1166" s="656" t="s">
        <v>52</v>
      </c>
      <c r="M1166" s="656" t="s">
        <v>71</v>
      </c>
      <c r="N1166" s="656" t="s">
        <v>72</v>
      </c>
      <c r="O1166" s="656" t="s">
        <v>72</v>
      </c>
      <c r="P1166" s="656" t="s">
        <v>1176</v>
      </c>
      <c r="Q1166" s="657">
        <v>0</v>
      </c>
      <c r="R1166" s="657">
        <v>0</v>
      </c>
      <c r="S1166" s="657">
        <v>73494</v>
      </c>
      <c r="T1166" s="657">
        <v>73494</v>
      </c>
      <c r="U1166" s="657">
        <v>8311</v>
      </c>
      <c r="V1166" s="655">
        <v>2021</v>
      </c>
      <c r="W1166" s="659"/>
      <c r="X1166" s="660">
        <f t="shared" si="56"/>
        <v>8.8429791842136929</v>
      </c>
      <c r="Y1166" s="661" t="str">
        <f t="shared" si="54"/>
        <v/>
      </c>
      <c r="Z1166" s="661" t="str">
        <f t="shared" si="55"/>
        <v/>
      </c>
    </row>
    <row r="1167" spans="1:26" s="128" customFormat="1">
      <c r="A1167" s="655">
        <v>57380</v>
      </c>
      <c r="B1167" s="656" t="s">
        <v>33</v>
      </c>
      <c r="C1167" s="655" t="s">
        <v>2793</v>
      </c>
      <c r="D1167" s="656" t="s">
        <v>1205</v>
      </c>
      <c r="E1167" s="656" t="s">
        <v>1913</v>
      </c>
      <c r="F1167" s="655">
        <v>15399</v>
      </c>
      <c r="G1167" s="656" t="s">
        <v>81</v>
      </c>
      <c r="H1167" s="656" t="s">
        <v>1183</v>
      </c>
      <c r="I1167" s="656" t="s">
        <v>58</v>
      </c>
      <c r="J1167" s="655">
        <v>22</v>
      </c>
      <c r="K1167" s="655">
        <v>2</v>
      </c>
      <c r="L1167" s="656" t="s">
        <v>52</v>
      </c>
      <c r="M1167" s="656" t="s">
        <v>71</v>
      </c>
      <c r="N1167" s="656" t="s">
        <v>72</v>
      </c>
      <c r="O1167" s="656" t="s">
        <v>72</v>
      </c>
      <c r="P1167" s="656" t="s">
        <v>1176</v>
      </c>
      <c r="Q1167" s="657">
        <v>0</v>
      </c>
      <c r="R1167" s="657">
        <v>0</v>
      </c>
      <c r="S1167" s="657">
        <v>693971</v>
      </c>
      <c r="T1167" s="657">
        <v>693971</v>
      </c>
      <c r="U1167" s="657">
        <v>78477</v>
      </c>
      <c r="V1167" s="655">
        <v>2021</v>
      </c>
      <c r="W1167" s="659"/>
      <c r="X1167" s="660">
        <f t="shared" si="56"/>
        <v>8.8429858429858434</v>
      </c>
      <c r="Y1167" s="661" t="str">
        <f t="shared" si="54"/>
        <v/>
      </c>
      <c r="Z1167" s="661" t="str">
        <f t="shared" si="55"/>
        <v/>
      </c>
    </row>
    <row r="1168" spans="1:26" s="128" customFormat="1" ht="25" hidden="1">
      <c r="A1168" s="655">
        <v>57404</v>
      </c>
      <c r="B1168" s="656" t="s">
        <v>33</v>
      </c>
      <c r="C1168" s="655" t="s">
        <v>2793</v>
      </c>
      <c r="D1168" s="656" t="s">
        <v>1206</v>
      </c>
      <c r="E1168" s="656" t="s">
        <v>902</v>
      </c>
      <c r="F1168" s="655">
        <v>54842</v>
      </c>
      <c r="G1168" s="656" t="s">
        <v>57</v>
      </c>
      <c r="H1168" s="656" t="s">
        <v>1182</v>
      </c>
      <c r="I1168" s="656" t="s">
        <v>58</v>
      </c>
      <c r="J1168" s="655">
        <v>22</v>
      </c>
      <c r="K1168" s="655">
        <v>2</v>
      </c>
      <c r="L1168" s="656" t="s">
        <v>52</v>
      </c>
      <c r="M1168" s="656" t="s">
        <v>51</v>
      </c>
      <c r="N1168" s="656" t="s">
        <v>63</v>
      </c>
      <c r="O1168" s="656" t="s">
        <v>64</v>
      </c>
      <c r="P1168" s="656" t="s">
        <v>1037</v>
      </c>
      <c r="Q1168" s="657">
        <v>579583</v>
      </c>
      <c r="R1168" s="657">
        <v>579583</v>
      </c>
      <c r="S1168" s="657">
        <v>279939</v>
      </c>
      <c r="T1168" s="657">
        <v>279939</v>
      </c>
      <c r="U1168" s="657">
        <v>25826</v>
      </c>
      <c r="V1168" s="655">
        <v>2021</v>
      </c>
      <c r="W1168" s="659"/>
      <c r="X1168" s="660">
        <f t="shared" si="56"/>
        <v>10.839425385270658</v>
      </c>
      <c r="Y1168" s="661" t="str">
        <f t="shared" si="54"/>
        <v/>
      </c>
      <c r="Z1168" s="661" t="str">
        <f t="shared" si="55"/>
        <v/>
      </c>
    </row>
    <row r="1169" spans="1:26" s="128" customFormat="1">
      <c r="A1169" s="655">
        <v>57414</v>
      </c>
      <c r="B1169" s="656" t="s">
        <v>33</v>
      </c>
      <c r="C1169" s="655" t="s">
        <v>2793</v>
      </c>
      <c r="D1169" s="656" t="s">
        <v>1081</v>
      </c>
      <c r="E1169" s="656" t="s">
        <v>1082</v>
      </c>
      <c r="F1169" s="655">
        <v>56742</v>
      </c>
      <c r="G1169" s="656" t="s">
        <v>81</v>
      </c>
      <c r="H1169" s="656" t="s">
        <v>1183</v>
      </c>
      <c r="I1169" s="656" t="s">
        <v>58</v>
      </c>
      <c r="J1169" s="655">
        <v>22</v>
      </c>
      <c r="K1169" s="655">
        <v>2</v>
      </c>
      <c r="L1169" s="656" t="s">
        <v>52</v>
      </c>
      <c r="M1169" s="656" t="s">
        <v>71</v>
      </c>
      <c r="N1169" s="656" t="s">
        <v>72</v>
      </c>
      <c r="O1169" s="656" t="s">
        <v>72</v>
      </c>
      <c r="P1169" s="656" t="s">
        <v>1176</v>
      </c>
      <c r="Q1169" s="657">
        <v>0</v>
      </c>
      <c r="R1169" s="657">
        <v>0</v>
      </c>
      <c r="S1169" s="657">
        <v>38405</v>
      </c>
      <c r="T1169" s="657">
        <v>38405</v>
      </c>
      <c r="U1169" s="657">
        <v>4343</v>
      </c>
      <c r="V1169" s="655">
        <v>2021</v>
      </c>
      <c r="W1169" s="659"/>
      <c r="X1169" s="660">
        <f t="shared" si="56"/>
        <v>8.8429656919180282</v>
      </c>
      <c r="Y1169" s="661" t="str">
        <f t="shared" si="54"/>
        <v/>
      </c>
      <c r="Z1169" s="661" t="str">
        <f t="shared" si="55"/>
        <v/>
      </c>
    </row>
    <row r="1170" spans="1:26" s="128" customFormat="1" ht="25">
      <c r="A1170" s="655">
        <v>57473</v>
      </c>
      <c r="B1170" s="656" t="s">
        <v>33</v>
      </c>
      <c r="C1170" s="655" t="s">
        <v>2793</v>
      </c>
      <c r="D1170" s="656" t="s">
        <v>1127</v>
      </c>
      <c r="E1170" s="656" t="s">
        <v>1128</v>
      </c>
      <c r="F1170" s="655">
        <v>56769</v>
      </c>
      <c r="G1170" s="656" t="s">
        <v>81</v>
      </c>
      <c r="H1170" s="656" t="s">
        <v>1183</v>
      </c>
      <c r="I1170" s="656" t="s">
        <v>58</v>
      </c>
      <c r="J1170" s="655">
        <v>22</v>
      </c>
      <c r="K1170" s="655">
        <v>2</v>
      </c>
      <c r="L1170" s="656" t="s">
        <v>52</v>
      </c>
      <c r="M1170" s="656" t="s">
        <v>448</v>
      </c>
      <c r="N1170" s="656" t="s">
        <v>449</v>
      </c>
      <c r="O1170" s="656" t="s">
        <v>449</v>
      </c>
      <c r="P1170" s="656" t="s">
        <v>1176</v>
      </c>
      <c r="Q1170" s="657">
        <v>0</v>
      </c>
      <c r="R1170" s="657">
        <v>0</v>
      </c>
      <c r="S1170" s="657">
        <v>19729</v>
      </c>
      <c r="T1170" s="657">
        <v>19729</v>
      </c>
      <c r="U1170" s="657">
        <v>2231</v>
      </c>
      <c r="V1170" s="655">
        <v>2021</v>
      </c>
      <c r="W1170" s="659"/>
      <c r="X1170" s="660">
        <f t="shared" si="56"/>
        <v>8.843119677274764</v>
      </c>
      <c r="Y1170" s="661" t="str">
        <f t="shared" si="54"/>
        <v/>
      </c>
      <c r="Z1170" s="661" t="str">
        <f t="shared" si="55"/>
        <v/>
      </c>
    </row>
    <row r="1171" spans="1:26" s="128" customFormat="1" ht="25" hidden="1">
      <c r="A1171" s="655">
        <v>57481</v>
      </c>
      <c r="B1171" s="656" t="s">
        <v>33</v>
      </c>
      <c r="C1171" s="655" t="s">
        <v>2793</v>
      </c>
      <c r="D1171" s="656" t="s">
        <v>1129</v>
      </c>
      <c r="E1171" s="656" t="s">
        <v>1130</v>
      </c>
      <c r="F1171" s="655">
        <v>56795</v>
      </c>
      <c r="G1171" s="656" t="s">
        <v>89</v>
      </c>
      <c r="H1171" s="656" t="s">
        <v>1183</v>
      </c>
      <c r="I1171" s="656" t="s">
        <v>58</v>
      </c>
      <c r="J1171" s="655">
        <v>22</v>
      </c>
      <c r="K1171" s="655">
        <v>2</v>
      </c>
      <c r="L1171" s="656" t="s">
        <v>52</v>
      </c>
      <c r="M1171" s="656" t="s">
        <v>448</v>
      </c>
      <c r="N1171" s="656" t="s">
        <v>449</v>
      </c>
      <c r="O1171" s="656" t="s">
        <v>449</v>
      </c>
      <c r="P1171" s="656" t="s">
        <v>1176</v>
      </c>
      <c r="Q1171" s="657">
        <v>0</v>
      </c>
      <c r="R1171" s="657">
        <v>0</v>
      </c>
      <c r="S1171" s="657">
        <v>26448</v>
      </c>
      <c r="T1171" s="657">
        <v>26448</v>
      </c>
      <c r="U1171" s="657">
        <v>2991</v>
      </c>
      <c r="V1171" s="655">
        <v>2021</v>
      </c>
      <c r="W1171" s="659"/>
      <c r="X1171" s="660">
        <f t="shared" si="56"/>
        <v>8.8425275827482448</v>
      </c>
      <c r="Y1171" s="661" t="str">
        <f t="shared" si="54"/>
        <v/>
      </c>
      <c r="Z1171" s="661" t="str">
        <f t="shared" si="55"/>
        <v/>
      </c>
    </row>
    <row r="1172" spans="1:26" s="128" customFormat="1" hidden="1">
      <c r="A1172" s="655">
        <v>57531</v>
      </c>
      <c r="B1172" s="656" t="s">
        <v>33</v>
      </c>
      <c r="C1172" s="655" t="s">
        <v>2793</v>
      </c>
      <c r="D1172" s="656" t="s">
        <v>1914</v>
      </c>
      <c r="E1172" s="656" t="s">
        <v>3128</v>
      </c>
      <c r="F1172" s="655">
        <v>60453</v>
      </c>
      <c r="G1172" s="656" t="s">
        <v>90</v>
      </c>
      <c r="H1172" s="656" t="s">
        <v>1183</v>
      </c>
      <c r="I1172" s="656" t="s">
        <v>58</v>
      </c>
      <c r="J1172" s="655">
        <v>22</v>
      </c>
      <c r="K1172" s="655">
        <v>2</v>
      </c>
      <c r="L1172" s="656" t="s">
        <v>52</v>
      </c>
      <c r="M1172" s="656" t="s">
        <v>71</v>
      </c>
      <c r="N1172" s="656" t="s">
        <v>72</v>
      </c>
      <c r="O1172" s="656" t="s">
        <v>72</v>
      </c>
      <c r="P1172" s="656" t="s">
        <v>1176</v>
      </c>
      <c r="Q1172" s="657">
        <v>0</v>
      </c>
      <c r="R1172" s="657">
        <v>0</v>
      </c>
      <c r="S1172" s="657">
        <v>4404407</v>
      </c>
      <c r="T1172" s="657">
        <v>4404407</v>
      </c>
      <c r="U1172" s="657">
        <v>498067</v>
      </c>
      <c r="V1172" s="655">
        <v>2021</v>
      </c>
      <c r="W1172" s="659"/>
      <c r="X1172" s="660">
        <f t="shared" si="56"/>
        <v>8.8430010420284813</v>
      </c>
      <c r="Y1172" s="661" t="str">
        <f t="shared" si="54"/>
        <v/>
      </c>
      <c r="Z1172" s="661" t="str">
        <f t="shared" si="55"/>
        <v/>
      </c>
    </row>
    <row r="1173" spans="1:26" s="128" customFormat="1" hidden="1">
      <c r="A1173" s="655">
        <v>57568</v>
      </c>
      <c r="B1173" s="656" t="s">
        <v>33</v>
      </c>
      <c r="C1173" s="655" t="s">
        <v>2793</v>
      </c>
      <c r="D1173" s="656" t="s">
        <v>1207</v>
      </c>
      <c r="E1173" s="656" t="s">
        <v>1208</v>
      </c>
      <c r="F1173" s="655">
        <v>56909</v>
      </c>
      <c r="G1173" s="656" t="s">
        <v>90</v>
      </c>
      <c r="H1173" s="656" t="s">
        <v>1183</v>
      </c>
      <c r="I1173" s="656" t="s">
        <v>58</v>
      </c>
      <c r="J1173" s="655">
        <v>22</v>
      </c>
      <c r="K1173" s="655">
        <v>2</v>
      </c>
      <c r="L1173" s="656" t="s">
        <v>52</v>
      </c>
      <c r="M1173" s="656" t="s">
        <v>71</v>
      </c>
      <c r="N1173" s="656" t="s">
        <v>72</v>
      </c>
      <c r="O1173" s="656" t="s">
        <v>72</v>
      </c>
      <c r="P1173" s="656" t="s">
        <v>1176</v>
      </c>
      <c r="Q1173" s="657">
        <v>0</v>
      </c>
      <c r="R1173" s="657">
        <v>0</v>
      </c>
      <c r="S1173" s="657">
        <v>1088574</v>
      </c>
      <c r="T1173" s="657">
        <v>1088574</v>
      </c>
      <c r="U1173" s="657">
        <v>123100</v>
      </c>
      <c r="V1173" s="655">
        <v>2021</v>
      </c>
      <c r="W1173" s="659"/>
      <c r="X1173" s="660">
        <f t="shared" si="56"/>
        <v>8.8430056864337931</v>
      </c>
      <c r="Y1173" s="661" t="str">
        <f t="shared" si="54"/>
        <v/>
      </c>
      <c r="Z1173" s="661" t="str">
        <f t="shared" si="55"/>
        <v/>
      </c>
    </row>
    <row r="1174" spans="1:26" s="128" customFormat="1" ht="25" hidden="1">
      <c r="A1174" s="655">
        <v>57589</v>
      </c>
      <c r="B1174" s="656" t="s">
        <v>33</v>
      </c>
      <c r="C1174" s="655" t="s">
        <v>2793</v>
      </c>
      <c r="D1174" s="656" t="s">
        <v>1131</v>
      </c>
      <c r="E1174" s="656" t="s">
        <v>1131</v>
      </c>
      <c r="F1174" s="655">
        <v>56924</v>
      </c>
      <c r="G1174" s="656" t="s">
        <v>57</v>
      </c>
      <c r="H1174" s="656" t="s">
        <v>1182</v>
      </c>
      <c r="I1174" s="656" t="s">
        <v>58</v>
      </c>
      <c r="J1174" s="655">
        <v>22</v>
      </c>
      <c r="K1174" s="655">
        <v>2</v>
      </c>
      <c r="L1174" s="656" t="s">
        <v>52</v>
      </c>
      <c r="M1174" s="656" t="s">
        <v>448</v>
      </c>
      <c r="N1174" s="656" t="s">
        <v>449</v>
      </c>
      <c r="O1174" s="656" t="s">
        <v>449</v>
      </c>
      <c r="P1174" s="656" t="s">
        <v>1176</v>
      </c>
      <c r="Q1174" s="657">
        <v>0</v>
      </c>
      <c r="R1174" s="657">
        <v>0</v>
      </c>
      <c r="S1174" s="657">
        <v>442673</v>
      </c>
      <c r="T1174" s="657">
        <v>442673</v>
      </c>
      <c r="U1174" s="657">
        <v>50059</v>
      </c>
      <c r="V1174" s="655">
        <v>2021</v>
      </c>
      <c r="W1174" s="659"/>
      <c r="X1174" s="660">
        <f t="shared" si="56"/>
        <v>8.8430252302283314</v>
      </c>
      <c r="Y1174" s="661" t="str">
        <f t="shared" si="54"/>
        <v/>
      </c>
      <c r="Z1174" s="661" t="str">
        <f t="shared" si="55"/>
        <v/>
      </c>
    </row>
    <row r="1175" spans="1:26" s="128" customFormat="1" ht="25" hidden="1">
      <c r="A1175" s="655">
        <v>57598</v>
      </c>
      <c r="B1175" s="656" t="s">
        <v>33</v>
      </c>
      <c r="C1175" s="655" t="s">
        <v>2793</v>
      </c>
      <c r="D1175" s="656" t="s">
        <v>1132</v>
      </c>
      <c r="E1175" s="656" t="s">
        <v>377</v>
      </c>
      <c r="F1175" s="655">
        <v>4180</v>
      </c>
      <c r="G1175" s="656" t="s">
        <v>41</v>
      </c>
      <c r="H1175" s="656" t="s">
        <v>1183</v>
      </c>
      <c r="I1175" s="656" t="s">
        <v>58</v>
      </c>
      <c r="J1175" s="655">
        <v>22</v>
      </c>
      <c r="K1175" s="655">
        <v>1</v>
      </c>
      <c r="L1175" s="656" t="s">
        <v>34</v>
      </c>
      <c r="M1175" s="656" t="s">
        <v>51</v>
      </c>
      <c r="N1175" s="656" t="s">
        <v>46</v>
      </c>
      <c r="O1175" s="656" t="s">
        <v>46</v>
      </c>
      <c r="P1175" s="656" t="s">
        <v>47</v>
      </c>
      <c r="Q1175" s="657">
        <v>900</v>
      </c>
      <c r="R1175" s="657">
        <v>900</v>
      </c>
      <c r="S1175" s="657">
        <v>5239</v>
      </c>
      <c r="T1175" s="657">
        <v>5239</v>
      </c>
      <c r="U1175" s="657">
        <v>500</v>
      </c>
      <c r="V1175" s="655">
        <v>2021</v>
      </c>
      <c r="W1175" s="659"/>
      <c r="X1175" s="660">
        <f t="shared" si="56"/>
        <v>10.478</v>
      </c>
      <c r="Y1175" s="661" t="str">
        <f t="shared" si="54"/>
        <v/>
      </c>
      <c r="Z1175" s="661" t="str">
        <f t="shared" si="55"/>
        <v/>
      </c>
    </row>
    <row r="1176" spans="1:26" s="128" customFormat="1" ht="25" hidden="1">
      <c r="A1176" s="655">
        <v>57598</v>
      </c>
      <c r="B1176" s="656" t="s">
        <v>33</v>
      </c>
      <c r="C1176" s="655" t="s">
        <v>2793</v>
      </c>
      <c r="D1176" s="656" t="s">
        <v>1132</v>
      </c>
      <c r="E1176" s="656" t="s">
        <v>377</v>
      </c>
      <c r="F1176" s="655">
        <v>4180</v>
      </c>
      <c r="G1176" s="656" t="s">
        <v>41</v>
      </c>
      <c r="H1176" s="656" t="s">
        <v>1183</v>
      </c>
      <c r="I1176" s="656" t="s">
        <v>58</v>
      </c>
      <c r="J1176" s="655">
        <v>22</v>
      </c>
      <c r="K1176" s="655">
        <v>1</v>
      </c>
      <c r="L1176" s="656" t="s">
        <v>34</v>
      </c>
      <c r="M1176" s="656" t="s">
        <v>51</v>
      </c>
      <c r="N1176" s="656" t="s">
        <v>61</v>
      </c>
      <c r="O1176" s="656" t="s">
        <v>61</v>
      </c>
      <c r="P1176" s="656" t="s">
        <v>47</v>
      </c>
      <c r="Q1176" s="657">
        <v>0</v>
      </c>
      <c r="R1176" s="657">
        <v>0</v>
      </c>
      <c r="S1176" s="657">
        <v>0</v>
      </c>
      <c r="T1176" s="657">
        <v>0</v>
      </c>
      <c r="U1176" s="657">
        <v>0</v>
      </c>
      <c r="V1176" s="655">
        <v>2021</v>
      </c>
      <c r="W1176" s="659"/>
      <c r="X1176" s="660" t="str">
        <f t="shared" si="56"/>
        <v/>
      </c>
      <c r="Y1176" s="661" t="str">
        <f t="shared" si="54"/>
        <v/>
      </c>
      <c r="Z1176" s="661" t="str">
        <f t="shared" si="55"/>
        <v/>
      </c>
    </row>
    <row r="1177" spans="1:26" s="128" customFormat="1" ht="25" hidden="1">
      <c r="A1177" s="655">
        <v>57599</v>
      </c>
      <c r="B1177" s="656" t="s">
        <v>33</v>
      </c>
      <c r="C1177" s="655" t="s">
        <v>2793</v>
      </c>
      <c r="D1177" s="656" t="s">
        <v>1133</v>
      </c>
      <c r="E1177" s="656" t="s">
        <v>377</v>
      </c>
      <c r="F1177" s="655">
        <v>4180</v>
      </c>
      <c r="G1177" s="656" t="s">
        <v>41</v>
      </c>
      <c r="H1177" s="656" t="s">
        <v>1183</v>
      </c>
      <c r="I1177" s="656" t="s">
        <v>58</v>
      </c>
      <c r="J1177" s="655">
        <v>22</v>
      </c>
      <c r="K1177" s="655">
        <v>1</v>
      </c>
      <c r="L1177" s="656" t="s">
        <v>34</v>
      </c>
      <c r="M1177" s="656" t="s">
        <v>51</v>
      </c>
      <c r="N1177" s="656" t="s">
        <v>46</v>
      </c>
      <c r="O1177" s="656" t="s">
        <v>46</v>
      </c>
      <c r="P1177" s="656" t="s">
        <v>47</v>
      </c>
      <c r="Q1177" s="657">
        <v>1281</v>
      </c>
      <c r="R1177" s="657">
        <v>1281</v>
      </c>
      <c r="S1177" s="657">
        <v>7454</v>
      </c>
      <c r="T1177" s="657">
        <v>7454</v>
      </c>
      <c r="U1177" s="657">
        <v>748</v>
      </c>
      <c r="V1177" s="655">
        <v>2021</v>
      </c>
      <c r="W1177" s="659"/>
      <c r="X1177" s="660">
        <f t="shared" si="56"/>
        <v>9.9652406417112296</v>
      </c>
      <c r="Y1177" s="661" t="str">
        <f t="shared" si="54"/>
        <v/>
      </c>
      <c r="Z1177" s="661" t="str">
        <f t="shared" si="55"/>
        <v/>
      </c>
    </row>
    <row r="1178" spans="1:26" s="128" customFormat="1" ht="25" hidden="1">
      <c r="A1178" s="655">
        <v>57600</v>
      </c>
      <c r="B1178" s="656" t="s">
        <v>33</v>
      </c>
      <c r="C1178" s="655" t="s">
        <v>2793</v>
      </c>
      <c r="D1178" s="656" t="s">
        <v>1134</v>
      </c>
      <c r="E1178" s="656" t="s">
        <v>377</v>
      </c>
      <c r="F1178" s="655">
        <v>4180</v>
      </c>
      <c r="G1178" s="656" t="s">
        <v>57</v>
      </c>
      <c r="H1178" s="656" t="s">
        <v>1182</v>
      </c>
      <c r="I1178" s="656" t="s">
        <v>58</v>
      </c>
      <c r="J1178" s="655">
        <v>22</v>
      </c>
      <c r="K1178" s="655">
        <v>1</v>
      </c>
      <c r="L1178" s="656" t="s">
        <v>34</v>
      </c>
      <c r="M1178" s="656" t="s">
        <v>51</v>
      </c>
      <c r="N1178" s="656" t="s">
        <v>46</v>
      </c>
      <c r="O1178" s="656" t="s">
        <v>46</v>
      </c>
      <c r="P1178" s="656" t="s">
        <v>47</v>
      </c>
      <c r="Q1178" s="657">
        <v>262</v>
      </c>
      <c r="R1178" s="657">
        <v>262</v>
      </c>
      <c r="S1178" s="657">
        <v>1525</v>
      </c>
      <c r="T1178" s="657">
        <v>1525</v>
      </c>
      <c r="U1178" s="657">
        <v>144</v>
      </c>
      <c r="V1178" s="655">
        <v>2021</v>
      </c>
      <c r="W1178" s="659"/>
      <c r="X1178" s="660">
        <f t="shared" si="56"/>
        <v>10.590277777777779</v>
      </c>
      <c r="Y1178" s="661" t="str">
        <f t="shared" si="54"/>
        <v/>
      </c>
      <c r="Z1178" s="661" t="str">
        <f t="shared" si="55"/>
        <v/>
      </c>
    </row>
    <row r="1179" spans="1:26" s="128" customFormat="1" ht="25" hidden="1">
      <c r="A1179" s="655">
        <v>57601</v>
      </c>
      <c r="B1179" s="656" t="s">
        <v>33</v>
      </c>
      <c r="C1179" s="655" t="s">
        <v>2793</v>
      </c>
      <c r="D1179" s="656" t="s">
        <v>1135</v>
      </c>
      <c r="E1179" s="656" t="s">
        <v>377</v>
      </c>
      <c r="F1179" s="655">
        <v>4180</v>
      </c>
      <c r="G1179" s="656" t="s">
        <v>41</v>
      </c>
      <c r="H1179" s="656" t="s">
        <v>1183</v>
      </c>
      <c r="I1179" s="656" t="s">
        <v>58</v>
      </c>
      <c r="J1179" s="655">
        <v>22</v>
      </c>
      <c r="K1179" s="655">
        <v>1</v>
      </c>
      <c r="L1179" s="656" t="s">
        <v>34</v>
      </c>
      <c r="M1179" s="656" t="s">
        <v>51</v>
      </c>
      <c r="N1179" s="656" t="s">
        <v>46</v>
      </c>
      <c r="O1179" s="656" t="s">
        <v>46</v>
      </c>
      <c r="P1179" s="656" t="s">
        <v>47</v>
      </c>
      <c r="Q1179" s="657">
        <v>867</v>
      </c>
      <c r="R1179" s="657">
        <v>867</v>
      </c>
      <c r="S1179" s="657">
        <v>5046</v>
      </c>
      <c r="T1179" s="657">
        <v>5046</v>
      </c>
      <c r="U1179" s="657">
        <v>506</v>
      </c>
      <c r="V1179" s="655">
        <v>2021</v>
      </c>
      <c r="W1179" s="659"/>
      <c r="X1179" s="660">
        <f t="shared" si="56"/>
        <v>9.9723320158102773</v>
      </c>
      <c r="Y1179" s="661" t="str">
        <f t="shared" si="54"/>
        <v/>
      </c>
      <c r="Z1179" s="661" t="str">
        <f t="shared" si="55"/>
        <v/>
      </c>
    </row>
    <row r="1180" spans="1:26" s="128" customFormat="1" ht="25" hidden="1">
      <c r="A1180" s="655">
        <v>57602</v>
      </c>
      <c r="B1180" s="656" t="s">
        <v>33</v>
      </c>
      <c r="C1180" s="655" t="s">
        <v>2793</v>
      </c>
      <c r="D1180" s="656" t="s">
        <v>1136</v>
      </c>
      <c r="E1180" s="656" t="s">
        <v>377</v>
      </c>
      <c r="F1180" s="655">
        <v>4180</v>
      </c>
      <c r="G1180" s="656" t="s">
        <v>41</v>
      </c>
      <c r="H1180" s="656" t="s">
        <v>1183</v>
      </c>
      <c r="I1180" s="656" t="s">
        <v>58</v>
      </c>
      <c r="J1180" s="655">
        <v>22</v>
      </c>
      <c r="K1180" s="655">
        <v>1</v>
      </c>
      <c r="L1180" s="656" t="s">
        <v>34</v>
      </c>
      <c r="M1180" s="656" t="s">
        <v>51</v>
      </c>
      <c r="N1180" s="656" t="s">
        <v>46</v>
      </c>
      <c r="O1180" s="656" t="s">
        <v>46</v>
      </c>
      <c r="P1180" s="656" t="s">
        <v>47</v>
      </c>
      <c r="Q1180" s="657">
        <v>416</v>
      </c>
      <c r="R1180" s="657">
        <v>416</v>
      </c>
      <c r="S1180" s="657">
        <v>2424</v>
      </c>
      <c r="T1180" s="657">
        <v>2424</v>
      </c>
      <c r="U1180" s="657">
        <v>245</v>
      </c>
      <c r="V1180" s="655">
        <v>2021</v>
      </c>
      <c r="W1180" s="659"/>
      <c r="X1180" s="660">
        <f t="shared" si="56"/>
        <v>9.8938775510204078</v>
      </c>
      <c r="Y1180" s="661" t="str">
        <f t="shared" si="54"/>
        <v/>
      </c>
      <c r="Z1180" s="661" t="str">
        <f t="shared" si="55"/>
        <v/>
      </c>
    </row>
    <row r="1181" spans="1:26" s="128" customFormat="1" ht="25" hidden="1">
      <c r="A1181" s="655">
        <v>57603</v>
      </c>
      <c r="B1181" s="656" t="s">
        <v>33</v>
      </c>
      <c r="C1181" s="655" t="s">
        <v>2793</v>
      </c>
      <c r="D1181" s="656" t="s">
        <v>1137</v>
      </c>
      <c r="E1181" s="656" t="s">
        <v>377</v>
      </c>
      <c r="F1181" s="655">
        <v>4180</v>
      </c>
      <c r="G1181" s="656" t="s">
        <v>41</v>
      </c>
      <c r="H1181" s="656" t="s">
        <v>1183</v>
      </c>
      <c r="I1181" s="656" t="s">
        <v>58</v>
      </c>
      <c r="J1181" s="655">
        <v>22</v>
      </c>
      <c r="K1181" s="655">
        <v>1</v>
      </c>
      <c r="L1181" s="656" t="s">
        <v>34</v>
      </c>
      <c r="M1181" s="656" t="s">
        <v>51</v>
      </c>
      <c r="N1181" s="656" t="s">
        <v>46</v>
      </c>
      <c r="O1181" s="656" t="s">
        <v>46</v>
      </c>
      <c r="P1181" s="656" t="s">
        <v>47</v>
      </c>
      <c r="Q1181" s="657">
        <v>893</v>
      </c>
      <c r="R1181" s="657">
        <v>893</v>
      </c>
      <c r="S1181" s="657">
        <v>5198</v>
      </c>
      <c r="T1181" s="657">
        <v>5198</v>
      </c>
      <c r="U1181" s="657">
        <v>517</v>
      </c>
      <c r="V1181" s="655">
        <v>2021</v>
      </c>
      <c r="W1181" s="659"/>
      <c r="X1181" s="660">
        <f t="shared" si="56"/>
        <v>10.054158607350097</v>
      </c>
      <c r="Y1181" s="661" t="str">
        <f t="shared" si="54"/>
        <v/>
      </c>
      <c r="Z1181" s="661" t="str">
        <f t="shared" si="55"/>
        <v/>
      </c>
    </row>
    <row r="1182" spans="1:26" s="128" customFormat="1" ht="25" hidden="1">
      <c r="A1182" s="655">
        <v>57604</v>
      </c>
      <c r="B1182" s="656" t="s">
        <v>33</v>
      </c>
      <c r="C1182" s="655" t="s">
        <v>2793</v>
      </c>
      <c r="D1182" s="656" t="s">
        <v>1138</v>
      </c>
      <c r="E1182" s="656" t="s">
        <v>377</v>
      </c>
      <c r="F1182" s="655">
        <v>4180</v>
      </c>
      <c r="G1182" s="656" t="s">
        <v>41</v>
      </c>
      <c r="H1182" s="656" t="s">
        <v>1183</v>
      </c>
      <c r="I1182" s="656" t="s">
        <v>58</v>
      </c>
      <c r="J1182" s="655">
        <v>22</v>
      </c>
      <c r="K1182" s="655">
        <v>1</v>
      </c>
      <c r="L1182" s="656" t="s">
        <v>34</v>
      </c>
      <c r="M1182" s="656" t="s">
        <v>51</v>
      </c>
      <c r="N1182" s="656" t="s">
        <v>46</v>
      </c>
      <c r="O1182" s="656" t="s">
        <v>46</v>
      </c>
      <c r="P1182" s="656" t="s">
        <v>47</v>
      </c>
      <c r="Q1182" s="657">
        <v>864</v>
      </c>
      <c r="R1182" s="657">
        <v>864</v>
      </c>
      <c r="S1182" s="657">
        <v>5028</v>
      </c>
      <c r="T1182" s="657">
        <v>5028</v>
      </c>
      <c r="U1182" s="657">
        <v>493</v>
      </c>
      <c r="V1182" s="655">
        <v>2021</v>
      </c>
      <c r="W1182" s="659"/>
      <c r="X1182" s="660">
        <f t="shared" si="56"/>
        <v>10.198782961460447</v>
      </c>
      <c r="Y1182" s="661" t="str">
        <f t="shared" si="54"/>
        <v/>
      </c>
      <c r="Z1182" s="661" t="str">
        <f t="shared" si="55"/>
        <v/>
      </c>
    </row>
    <row r="1183" spans="1:26" s="128" customFormat="1" ht="25" hidden="1">
      <c r="A1183" s="655">
        <v>57605</v>
      </c>
      <c r="B1183" s="656" t="s">
        <v>33</v>
      </c>
      <c r="C1183" s="655" t="s">
        <v>2793</v>
      </c>
      <c r="D1183" s="656" t="s">
        <v>1139</v>
      </c>
      <c r="E1183" s="656" t="s">
        <v>377</v>
      </c>
      <c r="F1183" s="655">
        <v>4180</v>
      </c>
      <c r="G1183" s="656" t="s">
        <v>41</v>
      </c>
      <c r="H1183" s="656" t="s">
        <v>1183</v>
      </c>
      <c r="I1183" s="656" t="s">
        <v>58</v>
      </c>
      <c r="J1183" s="655">
        <v>22</v>
      </c>
      <c r="K1183" s="655">
        <v>1</v>
      </c>
      <c r="L1183" s="656" t="s">
        <v>34</v>
      </c>
      <c r="M1183" s="656" t="s">
        <v>51</v>
      </c>
      <c r="N1183" s="656" t="s">
        <v>46</v>
      </c>
      <c r="O1183" s="656" t="s">
        <v>46</v>
      </c>
      <c r="P1183" s="656" t="s">
        <v>47</v>
      </c>
      <c r="Q1183" s="657">
        <v>704</v>
      </c>
      <c r="R1183" s="657">
        <v>704</v>
      </c>
      <c r="S1183" s="657">
        <v>4096</v>
      </c>
      <c r="T1183" s="657">
        <v>4096</v>
      </c>
      <c r="U1183" s="657">
        <v>402</v>
      </c>
      <c r="V1183" s="655">
        <v>2021</v>
      </c>
      <c r="W1183" s="659"/>
      <c r="X1183" s="660">
        <f t="shared" si="56"/>
        <v>10.189054726368159</v>
      </c>
      <c r="Y1183" s="661" t="str">
        <f t="shared" si="54"/>
        <v/>
      </c>
      <c r="Z1183" s="661" t="str">
        <f t="shared" si="55"/>
        <v/>
      </c>
    </row>
    <row r="1184" spans="1:26" s="128" customFormat="1" ht="25" hidden="1">
      <c r="A1184" s="655">
        <v>57624</v>
      </c>
      <c r="B1184" s="656" t="s">
        <v>33</v>
      </c>
      <c r="C1184" s="655" t="s">
        <v>2793</v>
      </c>
      <c r="D1184" s="656" t="s">
        <v>1140</v>
      </c>
      <c r="E1184" s="656" t="s">
        <v>1039</v>
      </c>
      <c r="F1184" s="655">
        <v>13831</v>
      </c>
      <c r="G1184" s="656" t="s">
        <v>41</v>
      </c>
      <c r="H1184" s="656" t="s">
        <v>1183</v>
      </c>
      <c r="I1184" s="656" t="s">
        <v>58</v>
      </c>
      <c r="J1184" s="655">
        <v>22132</v>
      </c>
      <c r="K1184" s="655">
        <v>4</v>
      </c>
      <c r="L1184" s="656" t="s">
        <v>412</v>
      </c>
      <c r="M1184" s="656" t="s">
        <v>51</v>
      </c>
      <c r="N1184" s="656" t="s">
        <v>46</v>
      </c>
      <c r="O1184" s="656" t="s">
        <v>46</v>
      </c>
      <c r="P1184" s="656" t="s">
        <v>47</v>
      </c>
      <c r="Q1184" s="657">
        <v>56</v>
      </c>
      <c r="R1184" s="657">
        <v>56</v>
      </c>
      <c r="S1184" s="657">
        <v>326</v>
      </c>
      <c r="T1184" s="657">
        <v>326</v>
      </c>
      <c r="U1184" s="657">
        <v>27</v>
      </c>
      <c r="V1184" s="655">
        <v>2021</v>
      </c>
      <c r="W1184" s="659"/>
      <c r="X1184" s="660" t="str">
        <f t="shared" si="56"/>
        <v/>
      </c>
      <c r="Y1184" s="661" t="str">
        <f t="shared" si="54"/>
        <v/>
      </c>
      <c r="Z1184" s="661" t="str">
        <f t="shared" si="55"/>
        <v/>
      </c>
    </row>
    <row r="1185" spans="1:26" s="128" customFormat="1" ht="25" hidden="1">
      <c r="A1185" s="655">
        <v>57648</v>
      </c>
      <c r="B1185" s="656" t="s">
        <v>33</v>
      </c>
      <c r="C1185" s="655" t="s">
        <v>2793</v>
      </c>
      <c r="D1185" s="656" t="s">
        <v>3370</v>
      </c>
      <c r="E1185" s="656" t="s">
        <v>3370</v>
      </c>
      <c r="F1185" s="655">
        <v>56977</v>
      </c>
      <c r="G1185" s="656" t="s">
        <v>57</v>
      </c>
      <c r="H1185" s="656" t="s">
        <v>1182</v>
      </c>
      <c r="I1185" s="656" t="s">
        <v>58</v>
      </c>
      <c r="J1185" s="655">
        <v>339</v>
      </c>
      <c r="K1185" s="655">
        <v>6</v>
      </c>
      <c r="L1185" s="656" t="s">
        <v>410</v>
      </c>
      <c r="M1185" s="656" t="s">
        <v>71</v>
      </c>
      <c r="N1185" s="656" t="s">
        <v>72</v>
      </c>
      <c r="O1185" s="656" t="s">
        <v>72</v>
      </c>
      <c r="P1185" s="656" t="s">
        <v>1176</v>
      </c>
      <c r="Q1185" s="657">
        <v>0</v>
      </c>
      <c r="R1185" s="657">
        <v>0</v>
      </c>
      <c r="S1185" s="657">
        <v>14803</v>
      </c>
      <c r="T1185" s="657">
        <v>14803</v>
      </c>
      <c r="U1185" s="657">
        <v>1674</v>
      </c>
      <c r="V1185" s="655">
        <v>2021</v>
      </c>
      <c r="W1185" s="659"/>
      <c r="X1185" s="660" t="str">
        <f t="shared" si="56"/>
        <v/>
      </c>
      <c r="Y1185" s="661" t="str">
        <f t="shared" si="54"/>
        <v/>
      </c>
      <c r="Z1185" s="661" t="str">
        <f t="shared" si="55"/>
        <v/>
      </c>
    </row>
    <row r="1186" spans="1:26" s="128" customFormat="1" hidden="1">
      <c r="A1186" s="655">
        <v>57664</v>
      </c>
      <c r="B1186" s="656" t="s">
        <v>33</v>
      </c>
      <c r="C1186" s="655" t="s">
        <v>2793</v>
      </c>
      <c r="D1186" s="656" t="s">
        <v>1141</v>
      </c>
      <c r="E1186" s="656" t="s">
        <v>1142</v>
      </c>
      <c r="F1186" s="655">
        <v>56991</v>
      </c>
      <c r="G1186" s="656" t="s">
        <v>57</v>
      </c>
      <c r="H1186" s="656" t="s">
        <v>1182</v>
      </c>
      <c r="I1186" s="656" t="s">
        <v>58</v>
      </c>
      <c r="J1186" s="655">
        <v>22</v>
      </c>
      <c r="K1186" s="655">
        <v>2</v>
      </c>
      <c r="L1186" s="656" t="s">
        <v>52</v>
      </c>
      <c r="M1186" s="656" t="s">
        <v>38</v>
      </c>
      <c r="N1186" s="656" t="s">
        <v>46</v>
      </c>
      <c r="O1186" s="656" t="s">
        <v>46</v>
      </c>
      <c r="P1186" s="656" t="s">
        <v>47</v>
      </c>
      <c r="Q1186" s="657">
        <v>0</v>
      </c>
      <c r="R1186" s="657">
        <v>0</v>
      </c>
      <c r="S1186" s="657">
        <v>0</v>
      </c>
      <c r="T1186" s="657">
        <v>0</v>
      </c>
      <c r="U1186" s="657">
        <v>7755.9620000000004</v>
      </c>
      <c r="V1186" s="655">
        <v>2021</v>
      </c>
      <c r="W1186" s="659"/>
      <c r="X1186" s="660" t="str">
        <f t="shared" si="56"/>
        <v/>
      </c>
      <c r="Y1186" s="661" t="str">
        <f t="shared" si="54"/>
        <v/>
      </c>
      <c r="Z1186" s="661" t="str">
        <f t="shared" si="55"/>
        <v/>
      </c>
    </row>
    <row r="1187" spans="1:26" s="128" customFormat="1" hidden="1">
      <c r="A1187" s="655">
        <v>57664</v>
      </c>
      <c r="B1187" s="656" t="s">
        <v>33</v>
      </c>
      <c r="C1187" s="655" t="s">
        <v>2793</v>
      </c>
      <c r="D1187" s="656" t="s">
        <v>1141</v>
      </c>
      <c r="E1187" s="656" t="s">
        <v>1142</v>
      </c>
      <c r="F1187" s="655">
        <v>56991</v>
      </c>
      <c r="G1187" s="656" t="s">
        <v>57</v>
      </c>
      <c r="H1187" s="656" t="s">
        <v>1182</v>
      </c>
      <c r="I1187" s="656" t="s">
        <v>58</v>
      </c>
      <c r="J1187" s="655">
        <v>22</v>
      </c>
      <c r="K1187" s="655">
        <v>2</v>
      </c>
      <c r="L1187" s="656" t="s">
        <v>52</v>
      </c>
      <c r="M1187" s="656" t="s">
        <v>38</v>
      </c>
      <c r="N1187" s="656" t="s">
        <v>39</v>
      </c>
      <c r="O1187" s="656" t="s">
        <v>39</v>
      </c>
      <c r="P1187" s="656" t="s">
        <v>1037</v>
      </c>
      <c r="Q1187" s="657">
        <v>1234327</v>
      </c>
      <c r="R1187" s="657">
        <v>1234327</v>
      </c>
      <c r="S1187" s="657">
        <v>1272541</v>
      </c>
      <c r="T1187" s="657">
        <v>1272541</v>
      </c>
      <c r="U1187" s="657">
        <v>1082922</v>
      </c>
      <c r="V1187" s="655">
        <v>2021</v>
      </c>
      <c r="W1187" s="659"/>
      <c r="X1187" s="660">
        <f t="shared" si="56"/>
        <v>1.1750994069748328</v>
      </c>
      <c r="Y1187" s="661" t="str">
        <f t="shared" si="54"/>
        <v/>
      </c>
      <c r="Z1187" s="661" t="str">
        <f t="shared" si="55"/>
        <v/>
      </c>
    </row>
    <row r="1188" spans="1:26" s="128" customFormat="1" hidden="1">
      <c r="A1188" s="655">
        <v>57664</v>
      </c>
      <c r="B1188" s="656" t="s">
        <v>33</v>
      </c>
      <c r="C1188" s="655" t="s">
        <v>2793</v>
      </c>
      <c r="D1188" s="656" t="s">
        <v>1141</v>
      </c>
      <c r="E1188" s="656" t="s">
        <v>1142</v>
      </c>
      <c r="F1188" s="655">
        <v>56991</v>
      </c>
      <c r="G1188" s="656" t="s">
        <v>57</v>
      </c>
      <c r="H1188" s="656" t="s">
        <v>1182</v>
      </c>
      <c r="I1188" s="656" t="s">
        <v>58</v>
      </c>
      <c r="J1188" s="655">
        <v>22</v>
      </c>
      <c r="K1188" s="655">
        <v>2</v>
      </c>
      <c r="L1188" s="656" t="s">
        <v>52</v>
      </c>
      <c r="M1188" s="656" t="s">
        <v>41</v>
      </c>
      <c r="N1188" s="656" t="s">
        <v>46</v>
      </c>
      <c r="O1188" s="656" t="s">
        <v>46</v>
      </c>
      <c r="P1188" s="656" t="s">
        <v>47</v>
      </c>
      <c r="Q1188" s="657">
        <v>27697</v>
      </c>
      <c r="R1188" s="657">
        <v>27697</v>
      </c>
      <c r="S1188" s="657">
        <v>160532</v>
      </c>
      <c r="T1188" s="657">
        <v>160532</v>
      </c>
      <c r="U1188" s="657">
        <v>13958.208000000001</v>
      </c>
      <c r="V1188" s="655">
        <v>2021</v>
      </c>
      <c r="W1188" s="659"/>
      <c r="X1188" s="660">
        <f t="shared" si="56"/>
        <v>11.500903267812028</v>
      </c>
      <c r="Y1188" s="661" t="str">
        <f t="shared" si="54"/>
        <v/>
      </c>
      <c r="Z1188" s="661" t="str">
        <f t="shared" si="55"/>
        <v/>
      </c>
    </row>
    <row r="1189" spans="1:26" s="128" customFormat="1" hidden="1">
      <c r="A1189" s="655">
        <v>57664</v>
      </c>
      <c r="B1189" s="656" t="s">
        <v>33</v>
      </c>
      <c r="C1189" s="655" t="s">
        <v>2793</v>
      </c>
      <c r="D1189" s="656" t="s">
        <v>1141</v>
      </c>
      <c r="E1189" s="656" t="s">
        <v>1142</v>
      </c>
      <c r="F1189" s="655">
        <v>56991</v>
      </c>
      <c r="G1189" s="656" t="s">
        <v>57</v>
      </c>
      <c r="H1189" s="656" t="s">
        <v>1182</v>
      </c>
      <c r="I1189" s="656" t="s">
        <v>58</v>
      </c>
      <c r="J1189" s="655">
        <v>22</v>
      </c>
      <c r="K1189" s="655">
        <v>2</v>
      </c>
      <c r="L1189" s="656" t="s">
        <v>52</v>
      </c>
      <c r="M1189" s="656" t="s">
        <v>41</v>
      </c>
      <c r="N1189" s="656" t="s">
        <v>39</v>
      </c>
      <c r="O1189" s="656" t="s">
        <v>39</v>
      </c>
      <c r="P1189" s="656" t="s">
        <v>1037</v>
      </c>
      <c r="Q1189" s="657">
        <v>19085408</v>
      </c>
      <c r="R1189" s="657">
        <v>19085408</v>
      </c>
      <c r="S1189" s="657">
        <v>19674617</v>
      </c>
      <c r="T1189" s="657">
        <v>19674617</v>
      </c>
      <c r="U1189" s="657">
        <v>1732723.8</v>
      </c>
      <c r="V1189" s="655">
        <v>2021</v>
      </c>
      <c r="W1189" s="659"/>
      <c r="X1189" s="660">
        <f t="shared" si="56"/>
        <v>11.354733512634846</v>
      </c>
      <c r="Y1189" s="661" t="str">
        <f t="shared" si="54"/>
        <v/>
      </c>
      <c r="Z1189" s="661" t="str">
        <f t="shared" si="55"/>
        <v/>
      </c>
    </row>
    <row r="1190" spans="1:26" s="128" customFormat="1" ht="25" hidden="1">
      <c r="A1190" s="655">
        <v>57666</v>
      </c>
      <c r="B1190" s="656" t="s">
        <v>54</v>
      </c>
      <c r="C1190" s="655" t="s">
        <v>2793</v>
      </c>
      <c r="D1190" s="656" t="s">
        <v>1143</v>
      </c>
      <c r="E1190" s="656" t="s">
        <v>1144</v>
      </c>
      <c r="F1190" s="655">
        <v>56992</v>
      </c>
      <c r="G1190" s="656" t="s">
        <v>41</v>
      </c>
      <c r="H1190" s="656" t="s">
        <v>1183</v>
      </c>
      <c r="I1190" s="656" t="s">
        <v>58</v>
      </c>
      <c r="J1190" s="655">
        <v>713</v>
      </c>
      <c r="K1190" s="655">
        <v>5</v>
      </c>
      <c r="L1190" s="656" t="s">
        <v>413</v>
      </c>
      <c r="M1190" s="656" t="s">
        <v>38</v>
      </c>
      <c r="N1190" s="656" t="s">
        <v>39</v>
      </c>
      <c r="O1190" s="656" t="s">
        <v>39</v>
      </c>
      <c r="P1190" s="656" t="s">
        <v>1037</v>
      </c>
      <c r="Q1190" s="657">
        <v>0</v>
      </c>
      <c r="R1190" s="657">
        <v>0</v>
      </c>
      <c r="S1190" s="657">
        <v>0</v>
      </c>
      <c r="T1190" s="657">
        <v>0</v>
      </c>
      <c r="U1190" s="657">
        <v>336.59</v>
      </c>
      <c r="V1190" s="655">
        <v>2021</v>
      </c>
      <c r="W1190" s="659"/>
      <c r="X1190" s="660" t="str">
        <f t="shared" si="56"/>
        <v/>
      </c>
      <c r="Y1190" s="661" t="str">
        <f t="shared" si="54"/>
        <v/>
      </c>
      <c r="Z1190" s="661" t="str">
        <f t="shared" si="55"/>
        <v/>
      </c>
    </row>
    <row r="1191" spans="1:26" s="128" customFormat="1" ht="25" hidden="1">
      <c r="A1191" s="655">
        <v>57666</v>
      </c>
      <c r="B1191" s="656" t="s">
        <v>54</v>
      </c>
      <c r="C1191" s="655" t="s">
        <v>2793</v>
      </c>
      <c r="D1191" s="656" t="s">
        <v>1143</v>
      </c>
      <c r="E1191" s="656" t="s">
        <v>1144</v>
      </c>
      <c r="F1191" s="655">
        <v>56992</v>
      </c>
      <c r="G1191" s="656" t="s">
        <v>41</v>
      </c>
      <c r="H1191" s="656" t="s">
        <v>1183</v>
      </c>
      <c r="I1191" s="656" t="s">
        <v>58</v>
      </c>
      <c r="J1191" s="655">
        <v>713</v>
      </c>
      <c r="K1191" s="655">
        <v>5</v>
      </c>
      <c r="L1191" s="656" t="s">
        <v>413</v>
      </c>
      <c r="M1191" s="656" t="s">
        <v>41</v>
      </c>
      <c r="N1191" s="656" t="s">
        <v>39</v>
      </c>
      <c r="O1191" s="656" t="s">
        <v>39</v>
      </c>
      <c r="P1191" s="656" t="s">
        <v>1037</v>
      </c>
      <c r="Q1191" s="657">
        <v>110893</v>
      </c>
      <c r="R1191" s="657">
        <v>55813</v>
      </c>
      <c r="S1191" s="657">
        <v>115328</v>
      </c>
      <c r="T1191" s="657">
        <v>58045</v>
      </c>
      <c r="U1191" s="657">
        <v>10389.67</v>
      </c>
      <c r="V1191" s="655">
        <v>2021</v>
      </c>
      <c r="W1191" s="659"/>
      <c r="X1191" s="660" t="str">
        <f t="shared" si="56"/>
        <v/>
      </c>
      <c r="Y1191" s="661" t="str">
        <f t="shared" si="54"/>
        <v/>
      </c>
      <c r="Z1191" s="661" t="str">
        <f t="shared" si="55"/>
        <v/>
      </c>
    </row>
    <row r="1192" spans="1:26" s="128" customFormat="1" ht="25">
      <c r="A1192" s="655">
        <v>57674</v>
      </c>
      <c r="B1192" s="656" t="s">
        <v>33</v>
      </c>
      <c r="C1192" s="655" t="s">
        <v>2793</v>
      </c>
      <c r="D1192" s="656" t="s">
        <v>1145</v>
      </c>
      <c r="E1192" s="656" t="s">
        <v>1146</v>
      </c>
      <c r="F1192" s="655">
        <v>56999</v>
      </c>
      <c r="G1192" s="656" t="s">
        <v>81</v>
      </c>
      <c r="H1192" s="656" t="s">
        <v>1183</v>
      </c>
      <c r="I1192" s="656" t="s">
        <v>58</v>
      </c>
      <c r="J1192" s="655">
        <v>22</v>
      </c>
      <c r="K1192" s="655">
        <v>1</v>
      </c>
      <c r="L1192" s="656" t="s">
        <v>34</v>
      </c>
      <c r="M1192" s="656" t="s">
        <v>448</v>
      </c>
      <c r="N1192" s="656" t="s">
        <v>449</v>
      </c>
      <c r="O1192" s="656" t="s">
        <v>449</v>
      </c>
      <c r="P1192" s="656" t="s">
        <v>1176</v>
      </c>
      <c r="Q1192" s="657">
        <v>0</v>
      </c>
      <c r="R1192" s="657">
        <v>0</v>
      </c>
      <c r="S1192" s="657">
        <v>23824</v>
      </c>
      <c r="T1192" s="657">
        <v>23824</v>
      </c>
      <c r="U1192" s="657">
        <v>2694</v>
      </c>
      <c r="V1192" s="655">
        <v>2021</v>
      </c>
      <c r="W1192" s="659"/>
      <c r="X1192" s="660">
        <f t="shared" si="56"/>
        <v>8.8433556050482558</v>
      </c>
      <c r="Y1192" s="661" t="str">
        <f t="shared" si="54"/>
        <v/>
      </c>
      <c r="Z1192" s="661" t="str">
        <f t="shared" si="55"/>
        <v/>
      </c>
    </row>
    <row r="1193" spans="1:26" s="128" customFormat="1" ht="25">
      <c r="A1193" s="655">
        <v>57676</v>
      </c>
      <c r="B1193" s="656" t="s">
        <v>33</v>
      </c>
      <c r="C1193" s="655" t="s">
        <v>2793</v>
      </c>
      <c r="D1193" s="656" t="s">
        <v>1147</v>
      </c>
      <c r="E1193" s="656" t="s">
        <v>1146</v>
      </c>
      <c r="F1193" s="655">
        <v>56999</v>
      </c>
      <c r="G1193" s="656" t="s">
        <v>81</v>
      </c>
      <c r="H1193" s="656" t="s">
        <v>1183</v>
      </c>
      <c r="I1193" s="656" t="s">
        <v>58</v>
      </c>
      <c r="J1193" s="655">
        <v>22</v>
      </c>
      <c r="K1193" s="655">
        <v>1</v>
      </c>
      <c r="L1193" s="656" t="s">
        <v>34</v>
      </c>
      <c r="M1193" s="656" t="s">
        <v>448</v>
      </c>
      <c r="N1193" s="656" t="s">
        <v>449</v>
      </c>
      <c r="O1193" s="656" t="s">
        <v>449</v>
      </c>
      <c r="P1193" s="656" t="s">
        <v>1176</v>
      </c>
      <c r="Q1193" s="657">
        <v>0</v>
      </c>
      <c r="R1193" s="657">
        <v>0</v>
      </c>
      <c r="S1193" s="657">
        <v>16918</v>
      </c>
      <c r="T1193" s="657">
        <v>16918</v>
      </c>
      <c r="U1193" s="657">
        <v>1913</v>
      </c>
      <c r="V1193" s="655">
        <v>2021</v>
      </c>
      <c r="W1193" s="659"/>
      <c r="X1193" s="660">
        <f t="shared" si="56"/>
        <v>8.8437009932043917</v>
      </c>
      <c r="Y1193" s="661" t="str">
        <f t="shared" si="54"/>
        <v/>
      </c>
      <c r="Z1193" s="661" t="str">
        <f t="shared" si="55"/>
        <v/>
      </c>
    </row>
    <row r="1194" spans="1:26" s="128" customFormat="1" ht="25" hidden="1">
      <c r="A1194" s="655">
        <v>57689</v>
      </c>
      <c r="B1194" s="656" t="s">
        <v>33</v>
      </c>
      <c r="C1194" s="655" t="s">
        <v>2793</v>
      </c>
      <c r="D1194" s="656" t="s">
        <v>1148</v>
      </c>
      <c r="E1194" s="656" t="s">
        <v>1149</v>
      </c>
      <c r="F1194" s="655">
        <v>57015</v>
      </c>
      <c r="G1194" s="656" t="s">
        <v>41</v>
      </c>
      <c r="H1194" s="656" t="s">
        <v>1183</v>
      </c>
      <c r="I1194" s="656" t="s">
        <v>58</v>
      </c>
      <c r="J1194" s="655">
        <v>22</v>
      </c>
      <c r="K1194" s="655">
        <v>1</v>
      </c>
      <c r="L1194" s="656" t="s">
        <v>34</v>
      </c>
      <c r="M1194" s="656" t="s">
        <v>51</v>
      </c>
      <c r="N1194" s="656" t="s">
        <v>46</v>
      </c>
      <c r="O1194" s="656" t="s">
        <v>46</v>
      </c>
      <c r="P1194" s="656" t="s">
        <v>47</v>
      </c>
      <c r="Q1194" s="657">
        <v>85</v>
      </c>
      <c r="R1194" s="657">
        <v>85</v>
      </c>
      <c r="S1194" s="657">
        <v>510</v>
      </c>
      <c r="T1194" s="657">
        <v>510</v>
      </c>
      <c r="U1194" s="657">
        <v>52</v>
      </c>
      <c r="V1194" s="655">
        <v>2021</v>
      </c>
      <c r="W1194" s="659"/>
      <c r="X1194" s="660">
        <f t="shared" si="56"/>
        <v>9.8076923076923084</v>
      </c>
      <c r="Y1194" s="661" t="str">
        <f t="shared" si="54"/>
        <v/>
      </c>
      <c r="Z1194" s="661" t="str">
        <f t="shared" si="55"/>
        <v/>
      </c>
    </row>
    <row r="1195" spans="1:26" s="128" customFormat="1" ht="25" hidden="1">
      <c r="A1195" s="655">
        <v>57710</v>
      </c>
      <c r="B1195" s="656" t="s">
        <v>33</v>
      </c>
      <c r="C1195" s="655" t="s">
        <v>2793</v>
      </c>
      <c r="D1195" s="656" t="s">
        <v>1915</v>
      </c>
      <c r="E1195" s="656" t="s">
        <v>2325</v>
      </c>
      <c r="F1195" s="655">
        <v>61978</v>
      </c>
      <c r="G1195" s="656" t="s">
        <v>57</v>
      </c>
      <c r="H1195" s="656" t="s">
        <v>1182</v>
      </c>
      <c r="I1195" s="656" t="s">
        <v>58</v>
      </c>
      <c r="J1195" s="655">
        <v>22</v>
      </c>
      <c r="K1195" s="655">
        <v>2</v>
      </c>
      <c r="L1195" s="656" t="s">
        <v>52</v>
      </c>
      <c r="M1195" s="656" t="s">
        <v>1085</v>
      </c>
      <c r="N1195" s="656" t="s">
        <v>1052</v>
      </c>
      <c r="O1195" s="656" t="s">
        <v>82</v>
      </c>
      <c r="P1195" s="656" t="s">
        <v>2794</v>
      </c>
      <c r="Q1195" s="657">
        <v>25120</v>
      </c>
      <c r="R1195" s="657">
        <v>25120</v>
      </c>
      <c r="S1195" s="657">
        <v>0</v>
      </c>
      <c r="T1195" s="657">
        <v>0</v>
      </c>
      <c r="U1195" s="657">
        <v>-9689</v>
      </c>
      <c r="V1195" s="655">
        <v>2021</v>
      </c>
      <c r="W1195" s="659"/>
      <c r="X1195" s="660" t="str">
        <f t="shared" si="56"/>
        <v/>
      </c>
      <c r="Y1195" s="661" t="str">
        <f t="shared" si="54"/>
        <v/>
      </c>
      <c r="Z1195" s="661" t="str">
        <f t="shared" si="55"/>
        <v/>
      </c>
    </row>
    <row r="1196" spans="1:26" s="128" customFormat="1" ht="25">
      <c r="A1196" s="655">
        <v>57721</v>
      </c>
      <c r="B1196" s="656" t="s">
        <v>33</v>
      </c>
      <c r="C1196" s="655" t="s">
        <v>2793</v>
      </c>
      <c r="D1196" s="656" t="s">
        <v>1150</v>
      </c>
      <c r="E1196" s="656" t="s">
        <v>372</v>
      </c>
      <c r="F1196" s="655">
        <v>11806</v>
      </c>
      <c r="G1196" s="656" t="s">
        <v>81</v>
      </c>
      <c r="H1196" s="656" t="s">
        <v>1183</v>
      </c>
      <c r="I1196" s="656" t="s">
        <v>58</v>
      </c>
      <c r="J1196" s="655">
        <v>22</v>
      </c>
      <c r="K1196" s="655">
        <v>1</v>
      </c>
      <c r="L1196" s="656" t="s">
        <v>34</v>
      </c>
      <c r="M1196" s="656" t="s">
        <v>71</v>
      </c>
      <c r="N1196" s="656" t="s">
        <v>72</v>
      </c>
      <c r="O1196" s="656" t="s">
        <v>72</v>
      </c>
      <c r="P1196" s="656" t="s">
        <v>1176</v>
      </c>
      <c r="Q1196" s="657">
        <v>0</v>
      </c>
      <c r="R1196" s="657">
        <v>0</v>
      </c>
      <c r="S1196" s="657">
        <v>383202</v>
      </c>
      <c r="T1196" s="657">
        <v>383202</v>
      </c>
      <c r="U1196" s="657">
        <v>43334</v>
      </c>
      <c r="V1196" s="655">
        <v>2021</v>
      </c>
      <c r="W1196" s="659"/>
      <c r="X1196" s="660">
        <f t="shared" si="56"/>
        <v>8.8429870309687537</v>
      </c>
      <c r="Y1196" s="661" t="str">
        <f t="shared" si="54"/>
        <v/>
      </c>
      <c r="Z1196" s="661" t="str">
        <f t="shared" si="55"/>
        <v/>
      </c>
    </row>
    <row r="1197" spans="1:26" s="128" customFormat="1" ht="25" hidden="1">
      <c r="A1197" s="655">
        <v>57789</v>
      </c>
      <c r="B1197" s="656" t="s">
        <v>54</v>
      </c>
      <c r="C1197" s="655" t="s">
        <v>2793</v>
      </c>
      <c r="D1197" s="656" t="s">
        <v>1151</v>
      </c>
      <c r="E1197" s="656" t="s">
        <v>1152</v>
      </c>
      <c r="F1197" s="655">
        <v>57106</v>
      </c>
      <c r="G1197" s="656" t="s">
        <v>57</v>
      </c>
      <c r="H1197" s="656" t="s">
        <v>1182</v>
      </c>
      <c r="I1197" s="656" t="s">
        <v>58</v>
      </c>
      <c r="J1197" s="655">
        <v>53</v>
      </c>
      <c r="K1197" s="655">
        <v>5</v>
      </c>
      <c r="L1197" s="656" t="s">
        <v>413</v>
      </c>
      <c r="M1197" s="656" t="s">
        <v>51</v>
      </c>
      <c r="N1197" s="656" t="s">
        <v>39</v>
      </c>
      <c r="O1197" s="656" t="s">
        <v>39</v>
      </c>
      <c r="P1197" s="656" t="s">
        <v>1037</v>
      </c>
      <c r="Q1197" s="657">
        <v>179554</v>
      </c>
      <c r="R1197" s="657">
        <v>90069</v>
      </c>
      <c r="S1197" s="657">
        <v>184762</v>
      </c>
      <c r="T1197" s="657">
        <v>92681</v>
      </c>
      <c r="U1197" s="657">
        <v>16803</v>
      </c>
      <c r="V1197" s="655">
        <v>2021</v>
      </c>
      <c r="W1197" s="659"/>
      <c r="X1197" s="660" t="str">
        <f t="shared" si="56"/>
        <v/>
      </c>
      <c r="Y1197" s="661" t="str">
        <f t="shared" si="54"/>
        <v/>
      </c>
      <c r="Z1197" s="661" t="str">
        <f t="shared" si="55"/>
        <v/>
      </c>
    </row>
    <row r="1198" spans="1:26" s="128" customFormat="1" ht="25" hidden="1">
      <c r="A1198" s="655">
        <v>57798</v>
      </c>
      <c r="B1198" s="656" t="s">
        <v>54</v>
      </c>
      <c r="C1198" s="655" t="s">
        <v>2793</v>
      </c>
      <c r="D1198" s="656" t="s">
        <v>1153</v>
      </c>
      <c r="E1198" s="656" t="s">
        <v>1154</v>
      </c>
      <c r="F1198" s="655">
        <v>57120</v>
      </c>
      <c r="G1198" s="656" t="s">
        <v>57</v>
      </c>
      <c r="H1198" s="656" t="s">
        <v>1182</v>
      </c>
      <c r="I1198" s="656" t="s">
        <v>1155</v>
      </c>
      <c r="J1198" s="655">
        <v>53</v>
      </c>
      <c r="K1198" s="655">
        <v>5</v>
      </c>
      <c r="L1198" s="656" t="s">
        <v>413</v>
      </c>
      <c r="M1198" s="656" t="s">
        <v>50</v>
      </c>
      <c r="N1198" s="656" t="s">
        <v>39</v>
      </c>
      <c r="O1198" s="656" t="s">
        <v>39</v>
      </c>
      <c r="P1198" s="656" t="s">
        <v>1037</v>
      </c>
      <c r="Q1198" s="657">
        <v>344009</v>
      </c>
      <c r="R1198" s="657">
        <v>166065</v>
      </c>
      <c r="S1198" s="657">
        <v>354330</v>
      </c>
      <c r="T1198" s="657">
        <v>171049</v>
      </c>
      <c r="U1198" s="657">
        <v>30155</v>
      </c>
      <c r="V1198" s="655">
        <v>2021</v>
      </c>
      <c r="W1198" s="659"/>
      <c r="X1198" s="660" t="str">
        <f t="shared" si="56"/>
        <v/>
      </c>
      <c r="Y1198" s="661">
        <f t="shared" si="54"/>
        <v>4.5193423721031083</v>
      </c>
      <c r="Z1198" s="661" t="str">
        <f t="shared" si="55"/>
        <v/>
      </c>
    </row>
    <row r="1199" spans="1:26" s="128" customFormat="1" ht="25" hidden="1">
      <c r="A1199" s="655">
        <v>57804</v>
      </c>
      <c r="B1199" s="656" t="s">
        <v>54</v>
      </c>
      <c r="C1199" s="655" t="s">
        <v>2793</v>
      </c>
      <c r="D1199" s="656" t="s">
        <v>1156</v>
      </c>
      <c r="E1199" s="656" t="s">
        <v>1157</v>
      </c>
      <c r="F1199" s="655">
        <v>57123</v>
      </c>
      <c r="G1199" s="656" t="s">
        <v>89</v>
      </c>
      <c r="H1199" s="656" t="s">
        <v>1183</v>
      </c>
      <c r="I1199" s="656" t="s">
        <v>58</v>
      </c>
      <c r="J1199" s="655">
        <v>611</v>
      </c>
      <c r="K1199" s="655">
        <v>5</v>
      </c>
      <c r="L1199" s="656" t="s">
        <v>413</v>
      </c>
      <c r="M1199" s="656" t="s">
        <v>42</v>
      </c>
      <c r="N1199" s="656" t="s">
        <v>46</v>
      </c>
      <c r="O1199" s="656" t="s">
        <v>46</v>
      </c>
      <c r="P1199" s="656" t="s">
        <v>47</v>
      </c>
      <c r="Q1199" s="657">
        <v>5</v>
      </c>
      <c r="R1199" s="657">
        <v>0</v>
      </c>
      <c r="S1199" s="657">
        <v>29</v>
      </c>
      <c r="T1199" s="657">
        <v>1</v>
      </c>
      <c r="U1199" s="657">
        <v>0.36499999999999999</v>
      </c>
      <c r="V1199" s="655">
        <v>2021</v>
      </c>
      <c r="W1199" s="659"/>
      <c r="X1199" s="660" t="str">
        <f t="shared" si="56"/>
        <v/>
      </c>
      <c r="Y1199" s="661" t="str">
        <f t="shared" si="54"/>
        <v/>
      </c>
      <c r="Z1199" s="661" t="str">
        <f t="shared" si="55"/>
        <v/>
      </c>
    </row>
    <row r="1200" spans="1:26" s="128" customFormat="1" ht="25" hidden="1">
      <c r="A1200" s="655">
        <v>57804</v>
      </c>
      <c r="B1200" s="656" t="s">
        <v>54</v>
      </c>
      <c r="C1200" s="655" t="s">
        <v>2793</v>
      </c>
      <c r="D1200" s="656" t="s">
        <v>1156</v>
      </c>
      <c r="E1200" s="656" t="s">
        <v>1157</v>
      </c>
      <c r="F1200" s="655">
        <v>57123</v>
      </c>
      <c r="G1200" s="656" t="s">
        <v>89</v>
      </c>
      <c r="H1200" s="656" t="s">
        <v>1183</v>
      </c>
      <c r="I1200" s="656" t="s">
        <v>58</v>
      </c>
      <c r="J1200" s="655">
        <v>611</v>
      </c>
      <c r="K1200" s="655">
        <v>5</v>
      </c>
      <c r="L1200" s="656" t="s">
        <v>413</v>
      </c>
      <c r="M1200" s="656" t="s">
        <v>42</v>
      </c>
      <c r="N1200" s="656" t="s">
        <v>39</v>
      </c>
      <c r="O1200" s="656" t="s">
        <v>39</v>
      </c>
      <c r="P1200" s="656" t="s">
        <v>1037</v>
      </c>
      <c r="Q1200" s="657">
        <v>110947</v>
      </c>
      <c r="R1200" s="657">
        <v>6941</v>
      </c>
      <c r="S1200" s="657">
        <v>110947</v>
      </c>
      <c r="T1200" s="657">
        <v>6941</v>
      </c>
      <c r="U1200" s="657">
        <v>1499.95</v>
      </c>
      <c r="V1200" s="655">
        <v>2021</v>
      </c>
      <c r="W1200" s="659"/>
      <c r="X1200" s="660" t="str">
        <f t="shared" si="56"/>
        <v/>
      </c>
      <c r="Y1200" s="661" t="str">
        <f t="shared" si="54"/>
        <v/>
      </c>
      <c r="Z1200" s="661" t="str">
        <f t="shared" si="55"/>
        <v/>
      </c>
    </row>
    <row r="1201" spans="1:26" s="128" customFormat="1" ht="25" hidden="1">
      <c r="A1201" s="655">
        <v>57804</v>
      </c>
      <c r="B1201" s="656" t="s">
        <v>54</v>
      </c>
      <c r="C1201" s="655" t="s">
        <v>2793</v>
      </c>
      <c r="D1201" s="656" t="s">
        <v>1156</v>
      </c>
      <c r="E1201" s="656" t="s">
        <v>1157</v>
      </c>
      <c r="F1201" s="655">
        <v>57123</v>
      </c>
      <c r="G1201" s="656" t="s">
        <v>89</v>
      </c>
      <c r="H1201" s="656" t="s">
        <v>1183</v>
      </c>
      <c r="I1201" s="656" t="s">
        <v>58</v>
      </c>
      <c r="J1201" s="655">
        <v>611</v>
      </c>
      <c r="K1201" s="655">
        <v>5</v>
      </c>
      <c r="L1201" s="656" t="s">
        <v>413</v>
      </c>
      <c r="M1201" s="656" t="s">
        <v>42</v>
      </c>
      <c r="N1201" s="656" t="s">
        <v>61</v>
      </c>
      <c r="O1201" s="656" t="s">
        <v>61</v>
      </c>
      <c r="P1201" s="656" t="s">
        <v>47</v>
      </c>
      <c r="Q1201" s="657">
        <v>0</v>
      </c>
      <c r="R1201" s="657">
        <v>0</v>
      </c>
      <c r="S1201" s="657">
        <v>0</v>
      </c>
      <c r="T1201" s="657">
        <v>0</v>
      </c>
      <c r="U1201" s="657">
        <v>0</v>
      </c>
      <c r="V1201" s="655">
        <v>2021</v>
      </c>
      <c r="W1201" s="659"/>
      <c r="X1201" s="660" t="str">
        <f t="shared" si="56"/>
        <v/>
      </c>
      <c r="Y1201" s="661" t="str">
        <f t="shared" si="54"/>
        <v/>
      </c>
      <c r="Z1201" s="661" t="str">
        <f t="shared" si="55"/>
        <v/>
      </c>
    </row>
    <row r="1202" spans="1:26" s="128" customFormat="1" ht="25" hidden="1">
      <c r="A1202" s="655">
        <v>57804</v>
      </c>
      <c r="B1202" s="656" t="s">
        <v>54</v>
      </c>
      <c r="C1202" s="655" t="s">
        <v>2793</v>
      </c>
      <c r="D1202" s="656" t="s">
        <v>1156</v>
      </c>
      <c r="E1202" s="656" t="s">
        <v>1157</v>
      </c>
      <c r="F1202" s="655">
        <v>57123</v>
      </c>
      <c r="G1202" s="656" t="s">
        <v>89</v>
      </c>
      <c r="H1202" s="656" t="s">
        <v>1183</v>
      </c>
      <c r="I1202" s="656" t="s">
        <v>58</v>
      </c>
      <c r="J1202" s="655">
        <v>611</v>
      </c>
      <c r="K1202" s="655">
        <v>5</v>
      </c>
      <c r="L1202" s="656" t="s">
        <v>413</v>
      </c>
      <c r="M1202" s="656" t="s">
        <v>42</v>
      </c>
      <c r="N1202" s="656" t="s">
        <v>69</v>
      </c>
      <c r="O1202" s="656" t="s">
        <v>70</v>
      </c>
      <c r="P1202" s="656" t="s">
        <v>45</v>
      </c>
      <c r="Q1202" s="657">
        <v>14516</v>
      </c>
      <c r="R1202" s="657">
        <v>882</v>
      </c>
      <c r="S1202" s="657">
        <v>124837</v>
      </c>
      <c r="T1202" s="657">
        <v>7593</v>
      </c>
      <c r="U1202" s="657">
        <v>1640.5450000000001</v>
      </c>
      <c r="V1202" s="655">
        <v>2021</v>
      </c>
      <c r="W1202" s="659"/>
      <c r="X1202" s="660" t="str">
        <f t="shared" si="56"/>
        <v/>
      </c>
      <c r="Y1202" s="661" t="str">
        <f t="shared" si="54"/>
        <v/>
      </c>
      <c r="Z1202" s="661" t="str">
        <f t="shared" si="55"/>
        <v/>
      </c>
    </row>
    <row r="1203" spans="1:26" s="128" customFormat="1" ht="25">
      <c r="A1203" s="655">
        <v>57838</v>
      </c>
      <c r="B1203" s="656" t="s">
        <v>33</v>
      </c>
      <c r="C1203" s="655" t="s">
        <v>2793</v>
      </c>
      <c r="D1203" s="656" t="s">
        <v>1209</v>
      </c>
      <c r="E1203" s="656" t="s">
        <v>1128</v>
      </c>
      <c r="F1203" s="655">
        <v>56769</v>
      </c>
      <c r="G1203" s="656" t="s">
        <v>81</v>
      </c>
      <c r="H1203" s="656" t="s">
        <v>1183</v>
      </c>
      <c r="I1203" s="656" t="s">
        <v>58</v>
      </c>
      <c r="J1203" s="655">
        <v>22</v>
      </c>
      <c r="K1203" s="655">
        <v>2</v>
      </c>
      <c r="L1203" s="656" t="s">
        <v>52</v>
      </c>
      <c r="M1203" s="656" t="s">
        <v>448</v>
      </c>
      <c r="N1203" s="656" t="s">
        <v>449</v>
      </c>
      <c r="O1203" s="656" t="s">
        <v>449</v>
      </c>
      <c r="P1203" s="656" t="s">
        <v>1176</v>
      </c>
      <c r="Q1203" s="657">
        <v>0</v>
      </c>
      <c r="R1203" s="657">
        <v>0</v>
      </c>
      <c r="S1203" s="657">
        <v>29819</v>
      </c>
      <c r="T1203" s="657">
        <v>29819</v>
      </c>
      <c r="U1203" s="657">
        <v>3372</v>
      </c>
      <c r="V1203" s="655">
        <v>2021</v>
      </c>
      <c r="W1203" s="659"/>
      <c r="X1203" s="660">
        <f t="shared" si="56"/>
        <v>8.8431198102016602</v>
      </c>
      <c r="Y1203" s="661" t="str">
        <f t="shared" si="54"/>
        <v/>
      </c>
      <c r="Z1203" s="661" t="str">
        <f t="shared" si="55"/>
        <v/>
      </c>
    </row>
    <row r="1204" spans="1:26" s="128" customFormat="1">
      <c r="A1204" s="655">
        <v>57855</v>
      </c>
      <c r="B1204" s="656" t="s">
        <v>33</v>
      </c>
      <c r="C1204" s="655" t="s">
        <v>2793</v>
      </c>
      <c r="D1204" s="656" t="s">
        <v>1158</v>
      </c>
      <c r="E1204" s="656" t="s">
        <v>1189</v>
      </c>
      <c r="F1204" s="655">
        <v>9442</v>
      </c>
      <c r="G1204" s="656" t="s">
        <v>81</v>
      </c>
      <c r="H1204" s="656" t="s">
        <v>1183</v>
      </c>
      <c r="I1204" s="656" t="s">
        <v>58</v>
      </c>
      <c r="J1204" s="655">
        <v>22</v>
      </c>
      <c r="K1204" s="655">
        <v>1</v>
      </c>
      <c r="L1204" s="656" t="s">
        <v>34</v>
      </c>
      <c r="M1204" s="656" t="s">
        <v>71</v>
      </c>
      <c r="N1204" s="656" t="s">
        <v>72</v>
      </c>
      <c r="O1204" s="656" t="s">
        <v>72</v>
      </c>
      <c r="P1204" s="656" t="s">
        <v>1176</v>
      </c>
      <c r="Q1204" s="657">
        <v>0</v>
      </c>
      <c r="R1204" s="657">
        <v>0</v>
      </c>
      <c r="S1204" s="657">
        <v>32163</v>
      </c>
      <c r="T1204" s="657">
        <v>32163</v>
      </c>
      <c r="U1204" s="657">
        <v>3637</v>
      </c>
      <c r="V1204" s="655">
        <v>2021</v>
      </c>
      <c r="W1204" s="659"/>
      <c r="X1204" s="660">
        <f t="shared" si="56"/>
        <v>8.8432774264503706</v>
      </c>
      <c r="Y1204" s="661" t="str">
        <f t="shared" si="54"/>
        <v/>
      </c>
      <c r="Z1204" s="661" t="str">
        <f t="shared" si="55"/>
        <v/>
      </c>
    </row>
    <row r="1205" spans="1:26" s="128" customFormat="1" hidden="1">
      <c r="A1205" s="655">
        <v>57867</v>
      </c>
      <c r="B1205" s="656" t="s">
        <v>33</v>
      </c>
      <c r="C1205" s="655" t="s">
        <v>2793</v>
      </c>
      <c r="D1205" s="656" t="s">
        <v>1159</v>
      </c>
      <c r="E1205" s="656" t="s">
        <v>3132</v>
      </c>
      <c r="F1205" s="655">
        <v>63800</v>
      </c>
      <c r="G1205" s="656" t="s">
        <v>57</v>
      </c>
      <c r="H1205" s="656" t="s">
        <v>1182</v>
      </c>
      <c r="I1205" s="656" t="s">
        <v>58</v>
      </c>
      <c r="J1205" s="655">
        <v>22</v>
      </c>
      <c r="K1205" s="655">
        <v>2</v>
      </c>
      <c r="L1205" s="656" t="s">
        <v>52</v>
      </c>
      <c r="M1205" s="656" t="s">
        <v>71</v>
      </c>
      <c r="N1205" s="656" t="s">
        <v>72</v>
      </c>
      <c r="O1205" s="656" t="s">
        <v>72</v>
      </c>
      <c r="P1205" s="656" t="s">
        <v>1176</v>
      </c>
      <c r="Q1205" s="657">
        <v>0</v>
      </c>
      <c r="R1205" s="657">
        <v>0</v>
      </c>
      <c r="S1205" s="657">
        <v>961855</v>
      </c>
      <c r="T1205" s="657">
        <v>961855</v>
      </c>
      <c r="U1205" s="657">
        <v>108770</v>
      </c>
      <c r="V1205" s="655">
        <v>2021</v>
      </c>
      <c r="W1205" s="659"/>
      <c r="X1205" s="660">
        <f t="shared" si="56"/>
        <v>8.8430173761147373</v>
      </c>
      <c r="Y1205" s="661" t="str">
        <f t="shared" si="54"/>
        <v/>
      </c>
      <c r="Z1205" s="661" t="str">
        <f t="shared" si="55"/>
        <v/>
      </c>
    </row>
    <row r="1206" spans="1:26" s="128" customFormat="1" ht="25">
      <c r="A1206" s="655">
        <v>57931</v>
      </c>
      <c r="B1206" s="656" t="s">
        <v>33</v>
      </c>
      <c r="C1206" s="655" t="s">
        <v>2793</v>
      </c>
      <c r="D1206" s="656" t="s">
        <v>1160</v>
      </c>
      <c r="E1206" s="656" t="s">
        <v>1161</v>
      </c>
      <c r="F1206" s="655">
        <v>57309</v>
      </c>
      <c r="G1206" s="656" t="s">
        <v>81</v>
      </c>
      <c r="H1206" s="656" t="s">
        <v>1183</v>
      </c>
      <c r="I1206" s="656" t="s">
        <v>58</v>
      </c>
      <c r="J1206" s="655">
        <v>22</v>
      </c>
      <c r="K1206" s="655">
        <v>2</v>
      </c>
      <c r="L1206" s="656" t="s">
        <v>52</v>
      </c>
      <c r="M1206" s="656" t="s">
        <v>448</v>
      </c>
      <c r="N1206" s="656" t="s">
        <v>449</v>
      </c>
      <c r="O1206" s="656" t="s">
        <v>449</v>
      </c>
      <c r="P1206" s="656" t="s">
        <v>1176</v>
      </c>
      <c r="Q1206" s="657">
        <v>0</v>
      </c>
      <c r="R1206" s="657">
        <v>0</v>
      </c>
      <c r="S1206" s="657">
        <v>34302</v>
      </c>
      <c r="T1206" s="657">
        <v>34302</v>
      </c>
      <c r="U1206" s="657">
        <v>3879</v>
      </c>
      <c r="V1206" s="655">
        <v>2021</v>
      </c>
      <c r="W1206" s="659"/>
      <c r="X1206" s="660">
        <f t="shared" si="56"/>
        <v>8.8430007733952056</v>
      </c>
      <c r="Y1206" s="661" t="str">
        <f t="shared" si="54"/>
        <v/>
      </c>
      <c r="Z1206" s="661" t="str">
        <f t="shared" si="55"/>
        <v/>
      </c>
    </row>
    <row r="1207" spans="1:26" s="128" customFormat="1" ht="25">
      <c r="A1207" s="655">
        <v>57934</v>
      </c>
      <c r="B1207" s="656" t="s">
        <v>33</v>
      </c>
      <c r="C1207" s="655" t="s">
        <v>2793</v>
      </c>
      <c r="D1207" s="656" t="s">
        <v>1210</v>
      </c>
      <c r="E1207" s="656" t="s">
        <v>1128</v>
      </c>
      <c r="F1207" s="655">
        <v>56769</v>
      </c>
      <c r="G1207" s="656" t="s">
        <v>81</v>
      </c>
      <c r="H1207" s="656" t="s">
        <v>1183</v>
      </c>
      <c r="I1207" s="656" t="s">
        <v>58</v>
      </c>
      <c r="J1207" s="655">
        <v>22</v>
      </c>
      <c r="K1207" s="655">
        <v>2</v>
      </c>
      <c r="L1207" s="656" t="s">
        <v>52</v>
      </c>
      <c r="M1207" s="656" t="s">
        <v>448</v>
      </c>
      <c r="N1207" s="656" t="s">
        <v>449</v>
      </c>
      <c r="O1207" s="656" t="s">
        <v>449</v>
      </c>
      <c r="P1207" s="656" t="s">
        <v>1176</v>
      </c>
      <c r="Q1207" s="657">
        <v>0</v>
      </c>
      <c r="R1207" s="657">
        <v>0</v>
      </c>
      <c r="S1207" s="657">
        <v>27979</v>
      </c>
      <c r="T1207" s="657">
        <v>27979</v>
      </c>
      <c r="U1207" s="657">
        <v>3164</v>
      </c>
      <c r="V1207" s="655">
        <v>2021</v>
      </c>
      <c r="W1207" s="659"/>
      <c r="X1207" s="660">
        <f t="shared" si="56"/>
        <v>8.8429203539823007</v>
      </c>
      <c r="Y1207" s="661" t="str">
        <f t="shared" si="54"/>
        <v/>
      </c>
      <c r="Z1207" s="661" t="str">
        <f t="shared" si="55"/>
        <v/>
      </c>
    </row>
    <row r="1208" spans="1:26" s="128" customFormat="1" ht="25">
      <c r="A1208" s="655">
        <v>57941</v>
      </c>
      <c r="B1208" s="656" t="s">
        <v>33</v>
      </c>
      <c r="C1208" s="655" t="s">
        <v>2793</v>
      </c>
      <c r="D1208" s="656" t="s">
        <v>1211</v>
      </c>
      <c r="E1208" s="656" t="s">
        <v>1212</v>
      </c>
      <c r="F1208" s="655">
        <v>57318</v>
      </c>
      <c r="G1208" s="656" t="s">
        <v>81</v>
      </c>
      <c r="H1208" s="656" t="s">
        <v>1183</v>
      </c>
      <c r="I1208" s="656" t="s">
        <v>58</v>
      </c>
      <c r="J1208" s="655">
        <v>22</v>
      </c>
      <c r="K1208" s="655">
        <v>2</v>
      </c>
      <c r="L1208" s="656" t="s">
        <v>52</v>
      </c>
      <c r="M1208" s="656" t="s">
        <v>448</v>
      </c>
      <c r="N1208" s="656" t="s">
        <v>449</v>
      </c>
      <c r="O1208" s="656" t="s">
        <v>449</v>
      </c>
      <c r="P1208" s="656" t="s">
        <v>1176</v>
      </c>
      <c r="Q1208" s="657">
        <v>0</v>
      </c>
      <c r="R1208" s="657">
        <v>0</v>
      </c>
      <c r="S1208" s="657">
        <v>23892</v>
      </c>
      <c r="T1208" s="657">
        <v>23892</v>
      </c>
      <c r="U1208" s="657">
        <v>2702</v>
      </c>
      <c r="V1208" s="655">
        <v>2021</v>
      </c>
      <c r="W1208" s="659"/>
      <c r="X1208" s="660">
        <f t="shared" si="56"/>
        <v>8.8423390081421172</v>
      </c>
      <c r="Y1208" s="661" t="str">
        <f t="shared" si="54"/>
        <v/>
      </c>
      <c r="Z1208" s="661" t="str">
        <f t="shared" si="55"/>
        <v/>
      </c>
    </row>
    <row r="1209" spans="1:26" s="128" customFormat="1" ht="25">
      <c r="A1209" s="655">
        <v>57942</v>
      </c>
      <c r="B1209" s="656" t="s">
        <v>33</v>
      </c>
      <c r="C1209" s="655" t="s">
        <v>2793</v>
      </c>
      <c r="D1209" s="656" t="s">
        <v>1213</v>
      </c>
      <c r="E1209" s="656" t="s">
        <v>1214</v>
      </c>
      <c r="F1209" s="655">
        <v>57319</v>
      </c>
      <c r="G1209" s="656" t="s">
        <v>81</v>
      </c>
      <c r="H1209" s="656" t="s">
        <v>1183</v>
      </c>
      <c r="I1209" s="656" t="s">
        <v>58</v>
      </c>
      <c r="J1209" s="655">
        <v>22</v>
      </c>
      <c r="K1209" s="655">
        <v>2</v>
      </c>
      <c r="L1209" s="656" t="s">
        <v>52</v>
      </c>
      <c r="M1209" s="656" t="s">
        <v>448</v>
      </c>
      <c r="N1209" s="656" t="s">
        <v>449</v>
      </c>
      <c r="O1209" s="656" t="s">
        <v>449</v>
      </c>
      <c r="P1209" s="656" t="s">
        <v>1176</v>
      </c>
      <c r="Q1209" s="657">
        <v>0</v>
      </c>
      <c r="R1209" s="657">
        <v>0</v>
      </c>
      <c r="S1209" s="657">
        <v>16583</v>
      </c>
      <c r="T1209" s="657">
        <v>16583</v>
      </c>
      <c r="U1209" s="657">
        <v>1875</v>
      </c>
      <c r="V1209" s="655">
        <v>2021</v>
      </c>
      <c r="W1209" s="659"/>
      <c r="X1209" s="660">
        <f t="shared" si="56"/>
        <v>8.8442666666666661</v>
      </c>
      <c r="Y1209" s="661" t="str">
        <f t="shared" si="54"/>
        <v/>
      </c>
      <c r="Z1209" s="661" t="str">
        <f t="shared" si="55"/>
        <v/>
      </c>
    </row>
    <row r="1210" spans="1:26" s="128" customFormat="1" ht="25" hidden="1">
      <c r="A1210" s="655">
        <v>57979</v>
      </c>
      <c r="B1210" s="656" t="s">
        <v>33</v>
      </c>
      <c r="C1210" s="655" t="s">
        <v>2793</v>
      </c>
      <c r="D1210" s="656" t="s">
        <v>1215</v>
      </c>
      <c r="E1210" s="656" t="s">
        <v>132</v>
      </c>
      <c r="F1210" s="655">
        <v>7601</v>
      </c>
      <c r="G1210" s="656" t="s">
        <v>89</v>
      </c>
      <c r="H1210" s="656" t="s">
        <v>1183</v>
      </c>
      <c r="I1210" s="656" t="s">
        <v>58</v>
      </c>
      <c r="J1210" s="655">
        <v>22</v>
      </c>
      <c r="K1210" s="655">
        <v>1</v>
      </c>
      <c r="L1210" s="656" t="s">
        <v>34</v>
      </c>
      <c r="M1210" s="656" t="s">
        <v>71</v>
      </c>
      <c r="N1210" s="656" t="s">
        <v>72</v>
      </c>
      <c r="O1210" s="656" t="s">
        <v>72</v>
      </c>
      <c r="P1210" s="656" t="s">
        <v>1176</v>
      </c>
      <c r="Q1210" s="657">
        <v>0</v>
      </c>
      <c r="R1210" s="657">
        <v>0</v>
      </c>
      <c r="S1210" s="657">
        <v>1337460</v>
      </c>
      <c r="T1210" s="657">
        <v>1337460</v>
      </c>
      <c r="U1210" s="657">
        <v>151245</v>
      </c>
      <c r="V1210" s="655">
        <v>2021</v>
      </c>
      <c r="W1210" s="659"/>
      <c r="X1210" s="660">
        <f t="shared" si="56"/>
        <v>8.8430030744818016</v>
      </c>
      <c r="Y1210" s="661" t="str">
        <f t="shared" si="54"/>
        <v/>
      </c>
      <c r="Z1210" s="661" t="str">
        <f t="shared" si="55"/>
        <v/>
      </c>
    </row>
    <row r="1211" spans="1:26" s="128" customFormat="1" ht="25">
      <c r="A1211" s="655">
        <v>57989</v>
      </c>
      <c r="B1211" s="656" t="s">
        <v>33</v>
      </c>
      <c r="C1211" s="655" t="s">
        <v>2793</v>
      </c>
      <c r="D1211" s="656" t="s">
        <v>1216</v>
      </c>
      <c r="E1211" s="656" t="s">
        <v>1128</v>
      </c>
      <c r="F1211" s="655">
        <v>56769</v>
      </c>
      <c r="G1211" s="656" t="s">
        <v>81</v>
      </c>
      <c r="H1211" s="656" t="s">
        <v>1183</v>
      </c>
      <c r="I1211" s="656" t="s">
        <v>58</v>
      </c>
      <c r="J1211" s="655">
        <v>22</v>
      </c>
      <c r="K1211" s="655">
        <v>2</v>
      </c>
      <c r="L1211" s="656" t="s">
        <v>52</v>
      </c>
      <c r="M1211" s="656" t="s">
        <v>448</v>
      </c>
      <c r="N1211" s="656" t="s">
        <v>449</v>
      </c>
      <c r="O1211" s="656" t="s">
        <v>449</v>
      </c>
      <c r="P1211" s="656" t="s">
        <v>1176</v>
      </c>
      <c r="Q1211" s="657">
        <v>0</v>
      </c>
      <c r="R1211" s="657">
        <v>0</v>
      </c>
      <c r="S1211" s="657">
        <v>35850</v>
      </c>
      <c r="T1211" s="657">
        <v>35850</v>
      </c>
      <c r="U1211" s="657">
        <v>4054</v>
      </c>
      <c r="V1211" s="655">
        <v>2021</v>
      </c>
      <c r="W1211" s="659"/>
      <c r="X1211" s="660">
        <f t="shared" si="56"/>
        <v>8.8431179082387761</v>
      </c>
      <c r="Y1211" s="661" t="str">
        <f t="shared" si="54"/>
        <v/>
      </c>
      <c r="Z1211" s="661" t="str">
        <f t="shared" si="55"/>
        <v/>
      </c>
    </row>
    <row r="1212" spans="1:26" s="128" customFormat="1" ht="25">
      <c r="A1212" s="655">
        <v>57990</v>
      </c>
      <c r="B1212" s="656" t="s">
        <v>33</v>
      </c>
      <c r="C1212" s="655" t="s">
        <v>2793</v>
      </c>
      <c r="D1212" s="656" t="s">
        <v>1217</v>
      </c>
      <c r="E1212" s="656" t="s">
        <v>1128</v>
      </c>
      <c r="F1212" s="655">
        <v>56769</v>
      </c>
      <c r="G1212" s="656" t="s">
        <v>81</v>
      </c>
      <c r="H1212" s="656" t="s">
        <v>1183</v>
      </c>
      <c r="I1212" s="656" t="s">
        <v>58</v>
      </c>
      <c r="J1212" s="655">
        <v>22</v>
      </c>
      <c r="K1212" s="655">
        <v>2</v>
      </c>
      <c r="L1212" s="656" t="s">
        <v>52</v>
      </c>
      <c r="M1212" s="656" t="s">
        <v>448</v>
      </c>
      <c r="N1212" s="656" t="s">
        <v>449</v>
      </c>
      <c r="O1212" s="656" t="s">
        <v>449</v>
      </c>
      <c r="P1212" s="656" t="s">
        <v>1176</v>
      </c>
      <c r="Q1212" s="657">
        <v>0</v>
      </c>
      <c r="R1212" s="657">
        <v>0</v>
      </c>
      <c r="S1212" s="657">
        <v>36610</v>
      </c>
      <c r="T1212" s="657">
        <v>36610</v>
      </c>
      <c r="U1212" s="657">
        <v>4140</v>
      </c>
      <c r="V1212" s="655">
        <v>2021</v>
      </c>
      <c r="W1212" s="659"/>
      <c r="X1212" s="660">
        <f t="shared" si="56"/>
        <v>8.8429951690821262</v>
      </c>
      <c r="Y1212" s="661" t="str">
        <f t="shared" si="54"/>
        <v/>
      </c>
      <c r="Z1212" s="661" t="str">
        <f t="shared" si="55"/>
        <v/>
      </c>
    </row>
    <row r="1213" spans="1:26" s="128" customFormat="1" ht="25">
      <c r="A1213" s="655">
        <v>57992</v>
      </c>
      <c r="B1213" s="656" t="s">
        <v>33</v>
      </c>
      <c r="C1213" s="655" t="s">
        <v>2793</v>
      </c>
      <c r="D1213" s="656" t="s">
        <v>1218</v>
      </c>
      <c r="E1213" s="656" t="s">
        <v>1219</v>
      </c>
      <c r="F1213" s="655">
        <v>57365</v>
      </c>
      <c r="G1213" s="656" t="s">
        <v>81</v>
      </c>
      <c r="H1213" s="656" t="s">
        <v>1183</v>
      </c>
      <c r="I1213" s="656" t="s">
        <v>58</v>
      </c>
      <c r="J1213" s="655">
        <v>22</v>
      </c>
      <c r="K1213" s="655">
        <v>2</v>
      </c>
      <c r="L1213" s="656" t="s">
        <v>52</v>
      </c>
      <c r="M1213" s="656" t="s">
        <v>448</v>
      </c>
      <c r="N1213" s="656" t="s">
        <v>449</v>
      </c>
      <c r="O1213" s="656" t="s">
        <v>449</v>
      </c>
      <c r="P1213" s="656" t="s">
        <v>1176</v>
      </c>
      <c r="Q1213" s="657">
        <v>0</v>
      </c>
      <c r="R1213" s="657">
        <v>0</v>
      </c>
      <c r="S1213" s="657">
        <v>13044</v>
      </c>
      <c r="T1213" s="657">
        <v>13044</v>
      </c>
      <c r="U1213" s="657">
        <v>1475</v>
      </c>
      <c r="V1213" s="655">
        <v>2021</v>
      </c>
      <c r="W1213" s="659"/>
      <c r="X1213" s="660">
        <f t="shared" si="56"/>
        <v>8.8433898305084746</v>
      </c>
      <c r="Y1213" s="661" t="str">
        <f t="shared" si="54"/>
        <v/>
      </c>
      <c r="Z1213" s="661" t="str">
        <f t="shared" si="55"/>
        <v/>
      </c>
    </row>
    <row r="1214" spans="1:26" s="128" customFormat="1" hidden="1">
      <c r="A1214" s="655">
        <v>58004</v>
      </c>
      <c r="B1214" s="656" t="s">
        <v>33</v>
      </c>
      <c r="C1214" s="655" t="s">
        <v>2793</v>
      </c>
      <c r="D1214" s="656" t="s">
        <v>1220</v>
      </c>
      <c r="E1214" s="656" t="s">
        <v>3371</v>
      </c>
      <c r="F1214" s="655">
        <v>64421</v>
      </c>
      <c r="G1214" s="656" t="s">
        <v>96</v>
      </c>
      <c r="H1214" s="656" t="s">
        <v>1183</v>
      </c>
      <c r="I1214" s="656" t="s">
        <v>58</v>
      </c>
      <c r="J1214" s="655">
        <v>22</v>
      </c>
      <c r="K1214" s="655">
        <v>2</v>
      </c>
      <c r="L1214" s="656" t="s">
        <v>52</v>
      </c>
      <c r="M1214" s="656" t="s">
        <v>71</v>
      </c>
      <c r="N1214" s="656" t="s">
        <v>72</v>
      </c>
      <c r="O1214" s="656" t="s">
        <v>72</v>
      </c>
      <c r="P1214" s="656" t="s">
        <v>1176</v>
      </c>
      <c r="Q1214" s="657">
        <v>0</v>
      </c>
      <c r="R1214" s="657">
        <v>0</v>
      </c>
      <c r="S1214" s="657">
        <v>1994646</v>
      </c>
      <c r="T1214" s="657">
        <v>1994646</v>
      </c>
      <c r="U1214" s="657">
        <v>225562</v>
      </c>
      <c r="V1214" s="655">
        <v>2021</v>
      </c>
      <c r="W1214" s="659"/>
      <c r="X1214" s="660">
        <f t="shared" si="56"/>
        <v>8.8430054707796533</v>
      </c>
      <c r="Y1214" s="661" t="str">
        <f t="shared" si="54"/>
        <v/>
      </c>
      <c r="Z1214" s="661" t="str">
        <f t="shared" si="55"/>
        <v/>
      </c>
    </row>
    <row r="1215" spans="1:26" s="128" customFormat="1" ht="25" hidden="1">
      <c r="A1215" s="655">
        <v>58025</v>
      </c>
      <c r="B1215" s="656" t="s">
        <v>33</v>
      </c>
      <c r="C1215" s="655" t="s">
        <v>2793</v>
      </c>
      <c r="D1215" s="656" t="s">
        <v>1221</v>
      </c>
      <c r="E1215" s="656" t="s">
        <v>1221</v>
      </c>
      <c r="F1215" s="655">
        <v>57401</v>
      </c>
      <c r="G1215" s="656" t="s">
        <v>81</v>
      </c>
      <c r="H1215" s="656" t="s">
        <v>1183</v>
      </c>
      <c r="I1215" s="656" t="s">
        <v>58</v>
      </c>
      <c r="J1215" s="655">
        <v>611</v>
      </c>
      <c r="K1215" s="655">
        <v>4</v>
      </c>
      <c r="L1215" s="656" t="s">
        <v>412</v>
      </c>
      <c r="M1215" s="656" t="s">
        <v>71</v>
      </c>
      <c r="N1215" s="656" t="s">
        <v>72</v>
      </c>
      <c r="O1215" s="656" t="s">
        <v>72</v>
      </c>
      <c r="P1215" s="656" t="s">
        <v>1176</v>
      </c>
      <c r="Q1215" s="657">
        <v>0</v>
      </c>
      <c r="R1215" s="657">
        <v>0</v>
      </c>
      <c r="S1215" s="657">
        <v>41942</v>
      </c>
      <c r="T1215" s="657">
        <v>41942</v>
      </c>
      <c r="U1215" s="657">
        <v>4743.09</v>
      </c>
      <c r="V1215" s="655">
        <v>2021</v>
      </c>
      <c r="W1215" s="659"/>
      <c r="X1215" s="660" t="str">
        <f t="shared" si="56"/>
        <v/>
      </c>
      <c r="Y1215" s="661" t="str">
        <f t="shared" si="54"/>
        <v/>
      </c>
      <c r="Z1215" s="661" t="str">
        <f t="shared" si="55"/>
        <v/>
      </c>
    </row>
    <row r="1216" spans="1:26" s="128" customFormat="1" hidden="1">
      <c r="A1216" s="655">
        <v>58026</v>
      </c>
      <c r="B1216" s="656" t="s">
        <v>33</v>
      </c>
      <c r="C1216" s="655" t="s">
        <v>2793</v>
      </c>
      <c r="D1216" s="656" t="s">
        <v>1222</v>
      </c>
      <c r="E1216" s="656" t="s">
        <v>1223</v>
      </c>
      <c r="F1216" s="655">
        <v>57402</v>
      </c>
      <c r="G1216" s="656" t="s">
        <v>90</v>
      </c>
      <c r="H1216" s="656" t="s">
        <v>1183</v>
      </c>
      <c r="I1216" s="656" t="s">
        <v>58</v>
      </c>
      <c r="J1216" s="655">
        <v>22</v>
      </c>
      <c r="K1216" s="655">
        <v>2</v>
      </c>
      <c r="L1216" s="656" t="s">
        <v>52</v>
      </c>
      <c r="M1216" s="656" t="s">
        <v>71</v>
      </c>
      <c r="N1216" s="656" t="s">
        <v>72</v>
      </c>
      <c r="O1216" s="656" t="s">
        <v>72</v>
      </c>
      <c r="P1216" s="656" t="s">
        <v>1176</v>
      </c>
      <c r="Q1216" s="657">
        <v>0</v>
      </c>
      <c r="R1216" s="657">
        <v>0</v>
      </c>
      <c r="S1216" s="657">
        <v>510401</v>
      </c>
      <c r="T1216" s="657">
        <v>510401</v>
      </c>
      <c r="U1216" s="657">
        <v>57718</v>
      </c>
      <c r="V1216" s="655">
        <v>2021</v>
      </c>
      <c r="W1216" s="659"/>
      <c r="X1216" s="660">
        <f t="shared" si="56"/>
        <v>8.8430125783984206</v>
      </c>
      <c r="Y1216" s="661" t="str">
        <f t="shared" si="54"/>
        <v/>
      </c>
      <c r="Z1216" s="661" t="str">
        <f t="shared" si="55"/>
        <v/>
      </c>
    </row>
    <row r="1217" spans="1:26" s="128" customFormat="1" ht="25">
      <c r="A1217" s="655">
        <v>58032</v>
      </c>
      <c r="B1217" s="656" t="s">
        <v>33</v>
      </c>
      <c r="C1217" s="655" t="s">
        <v>2793</v>
      </c>
      <c r="D1217" s="656" t="s">
        <v>1224</v>
      </c>
      <c r="E1217" s="656" t="s">
        <v>1219</v>
      </c>
      <c r="F1217" s="655">
        <v>57365</v>
      </c>
      <c r="G1217" s="656" t="s">
        <v>81</v>
      </c>
      <c r="H1217" s="656" t="s">
        <v>1183</v>
      </c>
      <c r="I1217" s="656" t="s">
        <v>58</v>
      </c>
      <c r="J1217" s="655">
        <v>22</v>
      </c>
      <c r="K1217" s="655">
        <v>2</v>
      </c>
      <c r="L1217" s="656" t="s">
        <v>52</v>
      </c>
      <c r="M1217" s="656" t="s">
        <v>448</v>
      </c>
      <c r="N1217" s="656" t="s">
        <v>449</v>
      </c>
      <c r="O1217" s="656" t="s">
        <v>449</v>
      </c>
      <c r="P1217" s="656" t="s">
        <v>1176</v>
      </c>
      <c r="Q1217" s="657">
        <v>0</v>
      </c>
      <c r="R1217" s="657">
        <v>0</v>
      </c>
      <c r="S1217" s="657">
        <v>25438</v>
      </c>
      <c r="T1217" s="657">
        <v>25438</v>
      </c>
      <c r="U1217" s="657">
        <v>2877</v>
      </c>
      <c r="V1217" s="655">
        <v>2021</v>
      </c>
      <c r="W1217" s="659"/>
      <c r="X1217" s="660">
        <f t="shared" si="56"/>
        <v>8.8418491484184916</v>
      </c>
      <c r="Y1217" s="661" t="str">
        <f t="shared" si="54"/>
        <v/>
      </c>
      <c r="Z1217" s="661" t="str">
        <f t="shared" si="55"/>
        <v/>
      </c>
    </row>
    <row r="1218" spans="1:26" s="128" customFormat="1" ht="25" hidden="1">
      <c r="A1218" s="655">
        <v>58035</v>
      </c>
      <c r="B1218" s="656" t="s">
        <v>33</v>
      </c>
      <c r="C1218" s="655" t="s">
        <v>2793</v>
      </c>
      <c r="D1218" s="656" t="s">
        <v>1916</v>
      </c>
      <c r="E1218" s="656" t="s">
        <v>1917</v>
      </c>
      <c r="F1218" s="655">
        <v>57406</v>
      </c>
      <c r="G1218" s="656" t="s">
        <v>131</v>
      </c>
      <c r="H1218" s="656" t="s">
        <v>1183</v>
      </c>
      <c r="I1218" s="656" t="s">
        <v>58</v>
      </c>
      <c r="J1218" s="655">
        <v>22</v>
      </c>
      <c r="K1218" s="655">
        <v>2</v>
      </c>
      <c r="L1218" s="656" t="s">
        <v>52</v>
      </c>
      <c r="M1218" s="656" t="s">
        <v>1918</v>
      </c>
      <c r="N1218" s="656" t="s">
        <v>72</v>
      </c>
      <c r="O1218" s="656" t="s">
        <v>72</v>
      </c>
      <c r="P1218" s="656" t="s">
        <v>1176</v>
      </c>
      <c r="Q1218" s="657">
        <v>0</v>
      </c>
      <c r="R1218" s="657">
        <v>0</v>
      </c>
      <c r="S1218" s="657">
        <v>744651</v>
      </c>
      <c r="T1218" s="657">
        <v>744651</v>
      </c>
      <c r="U1218" s="657">
        <v>84208</v>
      </c>
      <c r="V1218" s="655">
        <v>2021</v>
      </c>
      <c r="W1218" s="659"/>
      <c r="X1218" s="660">
        <f t="shared" si="56"/>
        <v>8.8429959148774469</v>
      </c>
      <c r="Y1218" s="661" t="str">
        <f t="shared" si="54"/>
        <v/>
      </c>
      <c r="Z1218" s="661" t="str">
        <f t="shared" si="55"/>
        <v/>
      </c>
    </row>
    <row r="1219" spans="1:26" s="128" customFormat="1" hidden="1">
      <c r="A1219" s="655">
        <v>58054</v>
      </c>
      <c r="B1219" s="656" t="s">
        <v>33</v>
      </c>
      <c r="C1219" s="655" t="s">
        <v>2793</v>
      </c>
      <c r="D1219" s="656" t="s">
        <v>1602</v>
      </c>
      <c r="E1219" s="656" t="s">
        <v>1603</v>
      </c>
      <c r="F1219" s="655">
        <v>57430</v>
      </c>
      <c r="G1219" s="656" t="s">
        <v>96</v>
      </c>
      <c r="H1219" s="656" t="s">
        <v>1183</v>
      </c>
      <c r="I1219" s="656" t="s">
        <v>58</v>
      </c>
      <c r="J1219" s="655">
        <v>22</v>
      </c>
      <c r="K1219" s="655">
        <v>2</v>
      </c>
      <c r="L1219" s="656" t="s">
        <v>52</v>
      </c>
      <c r="M1219" s="656" t="s">
        <v>42</v>
      </c>
      <c r="N1219" s="656" t="s">
        <v>46</v>
      </c>
      <c r="O1219" s="656" t="s">
        <v>46</v>
      </c>
      <c r="P1219" s="656" t="s">
        <v>47</v>
      </c>
      <c r="Q1219" s="657">
        <v>361</v>
      </c>
      <c r="R1219" s="657">
        <v>361</v>
      </c>
      <c r="S1219" s="657">
        <v>2131</v>
      </c>
      <c r="T1219" s="657">
        <v>2131</v>
      </c>
      <c r="U1219" s="657">
        <v>158.589</v>
      </c>
      <c r="V1219" s="655">
        <v>2021</v>
      </c>
      <c r="W1219" s="659"/>
      <c r="X1219" s="660">
        <f t="shared" si="56"/>
        <v>13.437249746199296</v>
      </c>
      <c r="Y1219" s="661" t="str">
        <f t="shared" si="54"/>
        <v/>
      </c>
      <c r="Z1219" s="661" t="str">
        <f t="shared" si="55"/>
        <v/>
      </c>
    </row>
    <row r="1220" spans="1:26" s="128" customFormat="1" hidden="1">
      <c r="A1220" s="655">
        <v>58054</v>
      </c>
      <c r="B1220" s="656" t="s">
        <v>33</v>
      </c>
      <c r="C1220" s="655" t="s">
        <v>2793</v>
      </c>
      <c r="D1220" s="656" t="s">
        <v>1602</v>
      </c>
      <c r="E1220" s="656" t="s">
        <v>1603</v>
      </c>
      <c r="F1220" s="655">
        <v>57430</v>
      </c>
      <c r="G1220" s="656" t="s">
        <v>96</v>
      </c>
      <c r="H1220" s="656" t="s">
        <v>1183</v>
      </c>
      <c r="I1220" s="656" t="s">
        <v>58</v>
      </c>
      <c r="J1220" s="655">
        <v>22</v>
      </c>
      <c r="K1220" s="655">
        <v>2</v>
      </c>
      <c r="L1220" s="656" t="s">
        <v>52</v>
      </c>
      <c r="M1220" s="656" t="s">
        <v>42</v>
      </c>
      <c r="N1220" s="656" t="s">
        <v>69</v>
      </c>
      <c r="O1220" s="656" t="s">
        <v>70</v>
      </c>
      <c r="P1220" s="656" t="s">
        <v>45</v>
      </c>
      <c r="Q1220" s="657">
        <v>807508</v>
      </c>
      <c r="R1220" s="657">
        <v>807508</v>
      </c>
      <c r="S1220" s="657">
        <v>7267572</v>
      </c>
      <c r="T1220" s="657">
        <v>7267572</v>
      </c>
      <c r="U1220" s="657">
        <v>540477.41</v>
      </c>
      <c r="V1220" s="655">
        <v>2021</v>
      </c>
      <c r="W1220" s="659"/>
      <c r="X1220" s="660">
        <f t="shared" si="56"/>
        <v>13.446578646089945</v>
      </c>
      <c r="Y1220" s="661" t="str">
        <f t="shared" si="54"/>
        <v/>
      </c>
      <c r="Z1220" s="661" t="str">
        <f t="shared" si="55"/>
        <v/>
      </c>
    </row>
    <row r="1221" spans="1:26" s="128" customFormat="1">
      <c r="A1221" s="655">
        <v>58065</v>
      </c>
      <c r="B1221" s="656" t="s">
        <v>33</v>
      </c>
      <c r="C1221" s="655" t="s">
        <v>2793</v>
      </c>
      <c r="D1221" s="656" t="s">
        <v>1225</v>
      </c>
      <c r="E1221" s="656" t="s">
        <v>1226</v>
      </c>
      <c r="F1221" s="655">
        <v>57443</v>
      </c>
      <c r="G1221" s="656" t="s">
        <v>81</v>
      </c>
      <c r="H1221" s="656" t="s">
        <v>1183</v>
      </c>
      <c r="I1221" s="656" t="s">
        <v>58</v>
      </c>
      <c r="J1221" s="655">
        <v>22</v>
      </c>
      <c r="K1221" s="655">
        <v>2</v>
      </c>
      <c r="L1221" s="656" t="s">
        <v>52</v>
      </c>
      <c r="M1221" s="656" t="s">
        <v>71</v>
      </c>
      <c r="N1221" s="656" t="s">
        <v>72</v>
      </c>
      <c r="O1221" s="656" t="s">
        <v>72</v>
      </c>
      <c r="P1221" s="656" t="s">
        <v>1176</v>
      </c>
      <c r="Q1221" s="657">
        <v>0</v>
      </c>
      <c r="R1221" s="657">
        <v>0</v>
      </c>
      <c r="S1221" s="657">
        <v>14643</v>
      </c>
      <c r="T1221" s="657">
        <v>14643</v>
      </c>
      <c r="U1221" s="657">
        <v>1656</v>
      </c>
      <c r="V1221" s="655">
        <v>2021</v>
      </c>
      <c r="W1221" s="659"/>
      <c r="X1221" s="660">
        <f t="shared" si="56"/>
        <v>8.8423913043478262</v>
      </c>
      <c r="Y1221" s="661" t="str">
        <f t="shared" si="54"/>
        <v/>
      </c>
      <c r="Z1221" s="661" t="str">
        <f t="shared" si="55"/>
        <v/>
      </c>
    </row>
    <row r="1222" spans="1:26" s="128" customFormat="1" hidden="1">
      <c r="A1222" s="655">
        <v>58084</v>
      </c>
      <c r="B1222" s="656" t="s">
        <v>54</v>
      </c>
      <c r="C1222" s="655" t="s">
        <v>2793</v>
      </c>
      <c r="D1222" s="656" t="s">
        <v>1604</v>
      </c>
      <c r="E1222" s="656" t="s">
        <v>1605</v>
      </c>
      <c r="F1222" s="655">
        <v>57464</v>
      </c>
      <c r="G1222" s="656" t="s">
        <v>41</v>
      </c>
      <c r="H1222" s="656" t="s">
        <v>1183</v>
      </c>
      <c r="I1222" s="656" t="s">
        <v>58</v>
      </c>
      <c r="J1222" s="655">
        <v>322</v>
      </c>
      <c r="K1222" s="655">
        <v>7</v>
      </c>
      <c r="L1222" s="656" t="s">
        <v>409</v>
      </c>
      <c r="M1222" s="656" t="s">
        <v>38</v>
      </c>
      <c r="N1222" s="656" t="s">
        <v>39</v>
      </c>
      <c r="O1222" s="656" t="s">
        <v>39</v>
      </c>
      <c r="P1222" s="656" t="s">
        <v>1037</v>
      </c>
      <c r="Q1222" s="657">
        <v>149</v>
      </c>
      <c r="R1222" s="657">
        <v>149</v>
      </c>
      <c r="S1222" s="657">
        <v>153</v>
      </c>
      <c r="T1222" s="657">
        <v>153</v>
      </c>
      <c r="U1222" s="657">
        <v>13071</v>
      </c>
      <c r="V1222" s="655">
        <v>2021</v>
      </c>
      <c r="W1222" s="659"/>
      <c r="X1222" s="660" t="str">
        <f t="shared" si="56"/>
        <v/>
      </c>
      <c r="Y1222" s="661" t="str">
        <f t="shared" si="54"/>
        <v/>
      </c>
      <c r="Z1222" s="661" t="str">
        <f t="shared" si="55"/>
        <v/>
      </c>
    </row>
    <row r="1223" spans="1:26" s="128" customFormat="1" hidden="1">
      <c r="A1223" s="655">
        <v>58084</v>
      </c>
      <c r="B1223" s="656" t="s">
        <v>54</v>
      </c>
      <c r="C1223" s="655" t="s">
        <v>2793</v>
      </c>
      <c r="D1223" s="656" t="s">
        <v>1604</v>
      </c>
      <c r="E1223" s="656" t="s">
        <v>1605</v>
      </c>
      <c r="F1223" s="655">
        <v>57464</v>
      </c>
      <c r="G1223" s="656" t="s">
        <v>41</v>
      </c>
      <c r="H1223" s="656" t="s">
        <v>1183</v>
      </c>
      <c r="I1223" s="656" t="s">
        <v>58</v>
      </c>
      <c r="J1223" s="655">
        <v>322</v>
      </c>
      <c r="K1223" s="655">
        <v>7</v>
      </c>
      <c r="L1223" s="656" t="s">
        <v>409</v>
      </c>
      <c r="M1223" s="656" t="s">
        <v>41</v>
      </c>
      <c r="N1223" s="656" t="s">
        <v>39</v>
      </c>
      <c r="O1223" s="656" t="s">
        <v>39</v>
      </c>
      <c r="P1223" s="656" t="s">
        <v>1037</v>
      </c>
      <c r="Q1223" s="657">
        <v>1312149</v>
      </c>
      <c r="R1223" s="657">
        <v>598349</v>
      </c>
      <c r="S1223" s="657">
        <v>1348891</v>
      </c>
      <c r="T1223" s="657">
        <v>615102</v>
      </c>
      <c r="U1223" s="657">
        <v>112167</v>
      </c>
      <c r="V1223" s="655">
        <v>2021</v>
      </c>
      <c r="W1223" s="659"/>
      <c r="X1223" s="660" t="str">
        <f t="shared" si="56"/>
        <v/>
      </c>
      <c r="Y1223" s="661" t="str">
        <f t="shared" ref="Y1223:Y1286" si="57">IF(AND($M1223=$Y$2,$N1223=$Y$3,NOT($Q1223=$R1223),NOT($U1223=0)),IF($K1223=5,$S1223/($U1223+(8/5)*$U1223),IF($K1223=7,$S1223/($U1223+(29/25)*$U1223),"")),"")</f>
        <v/>
      </c>
      <c r="Z1223" s="661" t="str">
        <f t="shared" ref="Z1223:Z1286" si="58">IF(AND($M1223=$Y$2,$N1223=$Y$4,NOT($Q1223=$R1223),NOT($U1223=0)),IF($K1223=5,$S1223/($U1223+(8/5)*$U1223),IF($K1223=7,$S1223/($U1223+(29/25)*$U1223),"")),"")</f>
        <v/>
      </c>
    </row>
    <row r="1224" spans="1:26" s="128" customFormat="1" hidden="1">
      <c r="A1224" s="655">
        <v>58084</v>
      </c>
      <c r="B1224" s="656" t="s">
        <v>54</v>
      </c>
      <c r="C1224" s="655" t="s">
        <v>2793</v>
      </c>
      <c r="D1224" s="656" t="s">
        <v>1604</v>
      </c>
      <c r="E1224" s="656" t="s">
        <v>1605</v>
      </c>
      <c r="F1224" s="655">
        <v>57464</v>
      </c>
      <c r="G1224" s="656" t="s">
        <v>41</v>
      </c>
      <c r="H1224" s="656" t="s">
        <v>1183</v>
      </c>
      <c r="I1224" s="656" t="s">
        <v>58</v>
      </c>
      <c r="J1224" s="655">
        <v>322</v>
      </c>
      <c r="K1224" s="655">
        <v>7</v>
      </c>
      <c r="L1224" s="656" t="s">
        <v>409</v>
      </c>
      <c r="M1224" s="656" t="s">
        <v>50</v>
      </c>
      <c r="N1224" s="656" t="s">
        <v>39</v>
      </c>
      <c r="O1224" s="656" t="s">
        <v>39</v>
      </c>
      <c r="P1224" s="656" t="s">
        <v>1037</v>
      </c>
      <c r="Q1224" s="657">
        <v>1302522</v>
      </c>
      <c r="R1224" s="657">
        <v>545411</v>
      </c>
      <c r="S1224" s="657">
        <v>1338993</v>
      </c>
      <c r="T1224" s="657">
        <v>560682</v>
      </c>
      <c r="U1224" s="657">
        <v>114124</v>
      </c>
      <c r="V1224" s="655">
        <v>2021</v>
      </c>
      <c r="W1224" s="659"/>
      <c r="X1224" s="660" t="str">
        <f t="shared" ref="X1224:X1287" si="59">IF(OR(K1224&gt;3,T1224=0,NOT(U1224&gt;0)),"",T1224/U1224)</f>
        <v/>
      </c>
      <c r="Y1224" s="661">
        <f t="shared" si="57"/>
        <v>5.4318475225777814</v>
      </c>
      <c r="Z1224" s="661" t="str">
        <f t="shared" si="58"/>
        <v/>
      </c>
    </row>
    <row r="1225" spans="1:26" s="128" customFormat="1" hidden="1">
      <c r="A1225" s="655">
        <v>58088</v>
      </c>
      <c r="B1225" s="656" t="s">
        <v>33</v>
      </c>
      <c r="C1225" s="655" t="s">
        <v>2793</v>
      </c>
      <c r="D1225" s="656" t="s">
        <v>1606</v>
      </c>
      <c r="E1225" s="656" t="s">
        <v>447</v>
      </c>
      <c r="F1225" s="655">
        <v>49893</v>
      </c>
      <c r="G1225" s="656" t="s">
        <v>57</v>
      </c>
      <c r="H1225" s="656" t="s">
        <v>1182</v>
      </c>
      <c r="I1225" s="656" t="s">
        <v>58</v>
      </c>
      <c r="J1225" s="655">
        <v>22</v>
      </c>
      <c r="K1225" s="655">
        <v>2</v>
      </c>
      <c r="L1225" s="656" t="s">
        <v>52</v>
      </c>
      <c r="M1225" s="656" t="s">
        <v>71</v>
      </c>
      <c r="N1225" s="656" t="s">
        <v>72</v>
      </c>
      <c r="O1225" s="656" t="s">
        <v>72</v>
      </c>
      <c r="P1225" s="656" t="s">
        <v>1176</v>
      </c>
      <c r="Q1225" s="657">
        <v>0</v>
      </c>
      <c r="R1225" s="657">
        <v>0</v>
      </c>
      <c r="S1225" s="657">
        <v>2173459</v>
      </c>
      <c r="T1225" s="657">
        <v>2173459</v>
      </c>
      <c r="U1225" s="657">
        <v>245783</v>
      </c>
      <c r="V1225" s="655">
        <v>2021</v>
      </c>
      <c r="W1225" s="659"/>
      <c r="X1225" s="660">
        <f t="shared" si="59"/>
        <v>8.8429997192645544</v>
      </c>
      <c r="Y1225" s="661" t="str">
        <f t="shared" si="57"/>
        <v/>
      </c>
      <c r="Z1225" s="661" t="str">
        <f t="shared" si="58"/>
        <v/>
      </c>
    </row>
    <row r="1226" spans="1:26" s="128" customFormat="1" ht="25">
      <c r="A1226" s="655">
        <v>58097</v>
      </c>
      <c r="B1226" s="656" t="s">
        <v>33</v>
      </c>
      <c r="C1226" s="655" t="s">
        <v>2793</v>
      </c>
      <c r="D1226" s="656" t="s">
        <v>1695</v>
      </c>
      <c r="E1226" s="656" t="s">
        <v>1989</v>
      </c>
      <c r="F1226" s="655">
        <v>60281</v>
      </c>
      <c r="G1226" s="656" t="s">
        <v>81</v>
      </c>
      <c r="H1226" s="656" t="s">
        <v>1183</v>
      </c>
      <c r="I1226" s="656" t="s">
        <v>58</v>
      </c>
      <c r="J1226" s="655">
        <v>22</v>
      </c>
      <c r="K1226" s="655">
        <v>2</v>
      </c>
      <c r="L1226" s="656" t="s">
        <v>52</v>
      </c>
      <c r="M1226" s="656" t="s">
        <v>448</v>
      </c>
      <c r="N1226" s="656" t="s">
        <v>449</v>
      </c>
      <c r="O1226" s="656" t="s">
        <v>449</v>
      </c>
      <c r="P1226" s="656" t="s">
        <v>1176</v>
      </c>
      <c r="Q1226" s="657">
        <v>0</v>
      </c>
      <c r="R1226" s="657">
        <v>0</v>
      </c>
      <c r="S1226" s="657">
        <v>45877</v>
      </c>
      <c r="T1226" s="657">
        <v>45877</v>
      </c>
      <c r="U1226" s="657">
        <v>5188</v>
      </c>
      <c r="V1226" s="655">
        <v>2021</v>
      </c>
      <c r="W1226" s="659"/>
      <c r="X1226" s="660">
        <f t="shared" si="59"/>
        <v>8.8429067077872006</v>
      </c>
      <c r="Y1226" s="661" t="str">
        <f t="shared" si="57"/>
        <v/>
      </c>
      <c r="Z1226" s="661" t="str">
        <f t="shared" si="58"/>
        <v/>
      </c>
    </row>
    <row r="1227" spans="1:26" s="128" customFormat="1" ht="25" hidden="1">
      <c r="A1227" s="655">
        <v>58116</v>
      </c>
      <c r="B1227" s="656" t="s">
        <v>33</v>
      </c>
      <c r="C1227" s="655" t="s">
        <v>2793</v>
      </c>
      <c r="D1227" s="656" t="s">
        <v>1227</v>
      </c>
      <c r="E1227" s="656" t="s">
        <v>1919</v>
      </c>
      <c r="F1227" s="655">
        <v>60642</v>
      </c>
      <c r="G1227" s="656" t="s">
        <v>41</v>
      </c>
      <c r="H1227" s="656" t="s">
        <v>1183</v>
      </c>
      <c r="I1227" s="656" t="s">
        <v>58</v>
      </c>
      <c r="J1227" s="655">
        <v>322</v>
      </c>
      <c r="K1227" s="655">
        <v>6</v>
      </c>
      <c r="L1227" s="656" t="s">
        <v>410</v>
      </c>
      <c r="M1227" s="656" t="s">
        <v>51</v>
      </c>
      <c r="N1227" s="656" t="s">
        <v>39</v>
      </c>
      <c r="O1227" s="656" t="s">
        <v>39</v>
      </c>
      <c r="P1227" s="656" t="s">
        <v>1037</v>
      </c>
      <c r="Q1227" s="657">
        <v>113470</v>
      </c>
      <c r="R1227" s="657">
        <v>113470</v>
      </c>
      <c r="S1227" s="657">
        <v>116422</v>
      </c>
      <c r="T1227" s="657">
        <v>116422</v>
      </c>
      <c r="U1227" s="657">
        <v>10778</v>
      </c>
      <c r="V1227" s="655">
        <v>2021</v>
      </c>
      <c r="W1227" s="659"/>
      <c r="X1227" s="660" t="str">
        <f t="shared" si="59"/>
        <v/>
      </c>
      <c r="Y1227" s="661" t="str">
        <f t="shared" si="57"/>
        <v/>
      </c>
      <c r="Z1227" s="661" t="str">
        <f t="shared" si="58"/>
        <v/>
      </c>
    </row>
    <row r="1228" spans="1:26" s="128" customFormat="1" hidden="1">
      <c r="A1228" s="655">
        <v>58141</v>
      </c>
      <c r="B1228" s="656" t="s">
        <v>33</v>
      </c>
      <c r="C1228" s="655" t="s">
        <v>2793</v>
      </c>
      <c r="D1228" s="656" t="s">
        <v>1228</v>
      </c>
      <c r="E1228" s="656" t="s">
        <v>1913</v>
      </c>
      <c r="F1228" s="655">
        <v>15399</v>
      </c>
      <c r="G1228" s="656" t="s">
        <v>96</v>
      </c>
      <c r="H1228" s="656" t="s">
        <v>1183</v>
      </c>
      <c r="I1228" s="656" t="s">
        <v>58</v>
      </c>
      <c r="J1228" s="655">
        <v>22</v>
      </c>
      <c r="K1228" s="655">
        <v>2</v>
      </c>
      <c r="L1228" s="656" t="s">
        <v>52</v>
      </c>
      <c r="M1228" s="656" t="s">
        <v>71</v>
      </c>
      <c r="N1228" s="656" t="s">
        <v>72</v>
      </c>
      <c r="O1228" s="656" t="s">
        <v>72</v>
      </c>
      <c r="P1228" s="656" t="s">
        <v>1176</v>
      </c>
      <c r="Q1228" s="657">
        <v>0</v>
      </c>
      <c r="R1228" s="657">
        <v>0</v>
      </c>
      <c r="S1228" s="657">
        <v>1008801</v>
      </c>
      <c r="T1228" s="657">
        <v>1008801</v>
      </c>
      <c r="U1228" s="657">
        <v>114079</v>
      </c>
      <c r="V1228" s="655">
        <v>2021</v>
      </c>
      <c r="W1228" s="659"/>
      <c r="X1228" s="660">
        <f t="shared" si="59"/>
        <v>8.8430035326396617</v>
      </c>
      <c r="Y1228" s="661" t="str">
        <f t="shared" si="57"/>
        <v/>
      </c>
      <c r="Z1228" s="661" t="str">
        <f t="shared" si="58"/>
        <v/>
      </c>
    </row>
    <row r="1229" spans="1:26" s="128" customFormat="1" ht="25" hidden="1">
      <c r="A1229" s="655">
        <v>58144</v>
      </c>
      <c r="B1229" s="656" t="s">
        <v>33</v>
      </c>
      <c r="C1229" s="655" t="s">
        <v>2793</v>
      </c>
      <c r="D1229" s="656" t="s">
        <v>1843</v>
      </c>
      <c r="E1229" s="656" t="s">
        <v>2326</v>
      </c>
      <c r="F1229" s="655">
        <v>62060</v>
      </c>
      <c r="G1229" s="656" t="s">
        <v>89</v>
      </c>
      <c r="H1229" s="656" t="s">
        <v>1183</v>
      </c>
      <c r="I1229" s="656" t="s">
        <v>58</v>
      </c>
      <c r="J1229" s="655">
        <v>22</v>
      </c>
      <c r="K1229" s="655">
        <v>2</v>
      </c>
      <c r="L1229" s="656" t="s">
        <v>52</v>
      </c>
      <c r="M1229" s="656" t="s">
        <v>448</v>
      </c>
      <c r="N1229" s="656" t="s">
        <v>449</v>
      </c>
      <c r="O1229" s="656" t="s">
        <v>449</v>
      </c>
      <c r="P1229" s="656" t="s">
        <v>1176</v>
      </c>
      <c r="Q1229" s="657">
        <v>0</v>
      </c>
      <c r="R1229" s="657">
        <v>0</v>
      </c>
      <c r="S1229" s="657">
        <v>20692</v>
      </c>
      <c r="T1229" s="657">
        <v>20692</v>
      </c>
      <c r="U1229" s="657">
        <v>2340</v>
      </c>
      <c r="V1229" s="655">
        <v>2021</v>
      </c>
      <c r="W1229" s="659"/>
      <c r="X1229" s="660">
        <f t="shared" si="59"/>
        <v>8.8427350427350433</v>
      </c>
      <c r="Y1229" s="661" t="str">
        <f t="shared" si="57"/>
        <v/>
      </c>
      <c r="Z1229" s="661" t="str">
        <f t="shared" si="58"/>
        <v/>
      </c>
    </row>
    <row r="1230" spans="1:26" s="128" customFormat="1" hidden="1">
      <c r="A1230" s="655">
        <v>58145</v>
      </c>
      <c r="B1230" s="656" t="s">
        <v>33</v>
      </c>
      <c r="C1230" s="655" t="s">
        <v>2793</v>
      </c>
      <c r="D1230" s="656" t="s">
        <v>1844</v>
      </c>
      <c r="E1230" s="656" t="s">
        <v>2326</v>
      </c>
      <c r="F1230" s="655">
        <v>62060</v>
      </c>
      <c r="G1230" s="656" t="s">
        <v>89</v>
      </c>
      <c r="H1230" s="656" t="s">
        <v>1183</v>
      </c>
      <c r="I1230" s="656" t="s">
        <v>58</v>
      </c>
      <c r="J1230" s="655">
        <v>22</v>
      </c>
      <c r="K1230" s="655">
        <v>2</v>
      </c>
      <c r="L1230" s="656" t="s">
        <v>52</v>
      </c>
      <c r="M1230" s="656" t="s">
        <v>448</v>
      </c>
      <c r="N1230" s="656" t="s">
        <v>449</v>
      </c>
      <c r="O1230" s="656" t="s">
        <v>449</v>
      </c>
      <c r="P1230" s="656" t="s">
        <v>1176</v>
      </c>
      <c r="Q1230" s="657">
        <v>0</v>
      </c>
      <c r="R1230" s="657">
        <v>0</v>
      </c>
      <c r="S1230" s="657">
        <v>16997</v>
      </c>
      <c r="T1230" s="657">
        <v>16997</v>
      </c>
      <c r="U1230" s="657">
        <v>1922</v>
      </c>
      <c r="V1230" s="655">
        <v>2021</v>
      </c>
      <c r="W1230" s="659"/>
      <c r="X1230" s="660">
        <f t="shared" si="59"/>
        <v>8.8433922996878245</v>
      </c>
      <c r="Y1230" s="661" t="str">
        <f t="shared" si="57"/>
        <v/>
      </c>
      <c r="Z1230" s="661" t="str">
        <f t="shared" si="58"/>
        <v/>
      </c>
    </row>
    <row r="1231" spans="1:26" s="128" customFormat="1" hidden="1">
      <c r="A1231" s="655">
        <v>58146</v>
      </c>
      <c r="B1231" s="656" t="s">
        <v>54</v>
      </c>
      <c r="C1231" s="655" t="s">
        <v>2793</v>
      </c>
      <c r="D1231" s="656" t="s">
        <v>1229</v>
      </c>
      <c r="E1231" s="656" t="s">
        <v>1229</v>
      </c>
      <c r="F1231" s="655">
        <v>58103</v>
      </c>
      <c r="G1231" s="656" t="s">
        <v>90</v>
      </c>
      <c r="H1231" s="656" t="s">
        <v>1183</v>
      </c>
      <c r="I1231" s="656" t="s">
        <v>58</v>
      </c>
      <c r="J1231" s="655">
        <v>322</v>
      </c>
      <c r="K1231" s="655">
        <v>7</v>
      </c>
      <c r="L1231" s="656" t="s">
        <v>409</v>
      </c>
      <c r="M1231" s="656" t="s">
        <v>42</v>
      </c>
      <c r="N1231" s="656" t="s">
        <v>414</v>
      </c>
      <c r="O1231" s="656" t="s">
        <v>82</v>
      </c>
      <c r="P1231" s="656" t="s">
        <v>1176</v>
      </c>
      <c r="Q1231" s="657">
        <v>0</v>
      </c>
      <c r="R1231" s="657">
        <v>0</v>
      </c>
      <c r="S1231" s="657">
        <v>864759</v>
      </c>
      <c r="T1231" s="657">
        <v>864759</v>
      </c>
      <c r="U1231" s="657">
        <v>97790</v>
      </c>
      <c r="V1231" s="655">
        <v>2021</v>
      </c>
      <c r="W1231" s="659"/>
      <c r="X1231" s="660" t="str">
        <f t="shared" si="59"/>
        <v/>
      </c>
      <c r="Y1231" s="661" t="str">
        <f t="shared" si="57"/>
        <v/>
      </c>
      <c r="Z1231" s="661" t="str">
        <f t="shared" si="58"/>
        <v/>
      </c>
    </row>
    <row r="1232" spans="1:26" s="128" customFormat="1" ht="25" hidden="1">
      <c r="A1232" s="655">
        <v>58152</v>
      </c>
      <c r="B1232" s="656" t="s">
        <v>54</v>
      </c>
      <c r="C1232" s="655" t="s">
        <v>2793</v>
      </c>
      <c r="D1232" s="656" t="s">
        <v>1230</v>
      </c>
      <c r="E1232" s="656" t="s">
        <v>1231</v>
      </c>
      <c r="F1232" s="655">
        <v>58120</v>
      </c>
      <c r="G1232" s="656" t="s">
        <v>41</v>
      </c>
      <c r="H1232" s="656" t="s">
        <v>1183</v>
      </c>
      <c r="I1232" s="656" t="s">
        <v>58</v>
      </c>
      <c r="J1232" s="655">
        <v>622</v>
      </c>
      <c r="K1232" s="655">
        <v>5</v>
      </c>
      <c r="L1232" s="656" t="s">
        <v>413</v>
      </c>
      <c r="M1232" s="656" t="s">
        <v>50</v>
      </c>
      <c r="N1232" s="656" t="s">
        <v>39</v>
      </c>
      <c r="O1232" s="656" t="s">
        <v>39</v>
      </c>
      <c r="P1232" s="656" t="s">
        <v>1037</v>
      </c>
      <c r="Q1232" s="657">
        <v>385375</v>
      </c>
      <c r="R1232" s="657">
        <v>136233</v>
      </c>
      <c r="S1232" s="657">
        <v>394624</v>
      </c>
      <c r="T1232" s="657">
        <v>139503</v>
      </c>
      <c r="U1232" s="657">
        <v>29187</v>
      </c>
      <c r="V1232" s="655">
        <v>2021</v>
      </c>
      <c r="W1232" s="659"/>
      <c r="X1232" s="660" t="str">
        <f t="shared" si="59"/>
        <v/>
      </c>
      <c r="Y1232" s="661">
        <f t="shared" si="57"/>
        <v>5.2002076793936176</v>
      </c>
      <c r="Z1232" s="661" t="str">
        <f t="shared" si="58"/>
        <v/>
      </c>
    </row>
    <row r="1233" spans="1:26" s="128" customFormat="1" ht="25" hidden="1">
      <c r="A1233" s="655">
        <v>58153</v>
      </c>
      <c r="B1233" s="656" t="s">
        <v>54</v>
      </c>
      <c r="C1233" s="655" t="s">
        <v>2793</v>
      </c>
      <c r="D1233" s="656" t="s">
        <v>1232</v>
      </c>
      <c r="E1233" s="656" t="s">
        <v>1232</v>
      </c>
      <c r="F1233" s="655">
        <v>58122</v>
      </c>
      <c r="G1233" s="656" t="s">
        <v>90</v>
      </c>
      <c r="H1233" s="656" t="s">
        <v>1183</v>
      </c>
      <c r="I1233" s="656" t="s">
        <v>58</v>
      </c>
      <c r="J1233" s="655">
        <v>622</v>
      </c>
      <c r="K1233" s="655">
        <v>5</v>
      </c>
      <c r="L1233" s="656" t="s">
        <v>413</v>
      </c>
      <c r="M1233" s="656" t="s">
        <v>50</v>
      </c>
      <c r="N1233" s="656" t="s">
        <v>46</v>
      </c>
      <c r="O1233" s="656" t="s">
        <v>46</v>
      </c>
      <c r="P1233" s="656" t="s">
        <v>47</v>
      </c>
      <c r="Q1233" s="657">
        <v>36</v>
      </c>
      <c r="R1233" s="657">
        <v>12</v>
      </c>
      <c r="S1233" s="657">
        <v>200</v>
      </c>
      <c r="T1233" s="657">
        <v>65</v>
      </c>
      <c r="U1233" s="657">
        <v>13.738</v>
      </c>
      <c r="V1233" s="655">
        <v>2021</v>
      </c>
      <c r="W1233" s="659"/>
      <c r="X1233" s="660" t="str">
        <f t="shared" si="59"/>
        <v/>
      </c>
      <c r="Y1233" s="661" t="str">
        <f t="shared" si="57"/>
        <v/>
      </c>
      <c r="Z1233" s="661">
        <f t="shared" si="58"/>
        <v>5.5992922494596682</v>
      </c>
    </row>
    <row r="1234" spans="1:26" s="128" customFormat="1" ht="25" hidden="1">
      <c r="A1234" s="655">
        <v>58153</v>
      </c>
      <c r="B1234" s="656" t="s">
        <v>54</v>
      </c>
      <c r="C1234" s="655" t="s">
        <v>2793</v>
      </c>
      <c r="D1234" s="656" t="s">
        <v>1232</v>
      </c>
      <c r="E1234" s="656" t="s">
        <v>1232</v>
      </c>
      <c r="F1234" s="655">
        <v>58122</v>
      </c>
      <c r="G1234" s="656" t="s">
        <v>90</v>
      </c>
      <c r="H1234" s="656" t="s">
        <v>1183</v>
      </c>
      <c r="I1234" s="656" t="s">
        <v>58</v>
      </c>
      <c r="J1234" s="655">
        <v>622</v>
      </c>
      <c r="K1234" s="655">
        <v>5</v>
      </c>
      <c r="L1234" s="656" t="s">
        <v>413</v>
      </c>
      <c r="M1234" s="656" t="s">
        <v>50</v>
      </c>
      <c r="N1234" s="656" t="s">
        <v>39</v>
      </c>
      <c r="O1234" s="656" t="s">
        <v>39</v>
      </c>
      <c r="P1234" s="656" t="s">
        <v>1037</v>
      </c>
      <c r="Q1234" s="657">
        <v>433215</v>
      </c>
      <c r="R1234" s="657">
        <v>147118</v>
      </c>
      <c r="S1234" s="657">
        <v>433215</v>
      </c>
      <c r="T1234" s="657">
        <v>147118</v>
      </c>
      <c r="U1234" s="657">
        <v>31045.261999999999</v>
      </c>
      <c r="V1234" s="655">
        <v>2021</v>
      </c>
      <c r="W1234" s="659"/>
      <c r="X1234" s="660" t="str">
        <f t="shared" si="59"/>
        <v/>
      </c>
      <c r="Y1234" s="661">
        <f t="shared" si="57"/>
        <v>5.3670397062892832</v>
      </c>
      <c r="Z1234" s="661" t="str">
        <f t="shared" si="58"/>
        <v/>
      </c>
    </row>
    <row r="1235" spans="1:26" s="128" customFormat="1" ht="25" hidden="1">
      <c r="A1235" s="655">
        <v>58156</v>
      </c>
      <c r="B1235" s="656" t="s">
        <v>33</v>
      </c>
      <c r="C1235" s="655" t="s">
        <v>2793</v>
      </c>
      <c r="D1235" s="656" t="s">
        <v>1233</v>
      </c>
      <c r="E1235" s="656" t="s">
        <v>1233</v>
      </c>
      <c r="F1235" s="655">
        <v>58110</v>
      </c>
      <c r="G1235" s="656" t="s">
        <v>57</v>
      </c>
      <c r="H1235" s="656" t="s">
        <v>1182</v>
      </c>
      <c r="I1235" s="656" t="s">
        <v>58</v>
      </c>
      <c r="J1235" s="655">
        <v>611</v>
      </c>
      <c r="K1235" s="655">
        <v>4</v>
      </c>
      <c r="L1235" s="656" t="s">
        <v>412</v>
      </c>
      <c r="M1235" s="656" t="s">
        <v>51</v>
      </c>
      <c r="N1235" s="656" t="s">
        <v>39</v>
      </c>
      <c r="O1235" s="656" t="s">
        <v>39</v>
      </c>
      <c r="P1235" s="656" t="s">
        <v>1037</v>
      </c>
      <c r="Q1235" s="657">
        <v>16787</v>
      </c>
      <c r="R1235" s="657">
        <v>16787</v>
      </c>
      <c r="S1235" s="657">
        <v>16787</v>
      </c>
      <c r="T1235" s="657">
        <v>16787</v>
      </c>
      <c r="U1235" s="657">
        <v>1514.1</v>
      </c>
      <c r="V1235" s="655">
        <v>2021</v>
      </c>
      <c r="W1235" s="659"/>
      <c r="X1235" s="660" t="str">
        <f t="shared" si="59"/>
        <v/>
      </c>
      <c r="Y1235" s="661" t="str">
        <f t="shared" si="57"/>
        <v/>
      </c>
      <c r="Z1235" s="661" t="str">
        <f t="shared" si="58"/>
        <v/>
      </c>
    </row>
    <row r="1236" spans="1:26" s="128" customFormat="1" ht="25" hidden="1">
      <c r="A1236" s="655">
        <v>58157</v>
      </c>
      <c r="B1236" s="656" t="s">
        <v>54</v>
      </c>
      <c r="C1236" s="655" t="s">
        <v>2793</v>
      </c>
      <c r="D1236" s="656" t="s">
        <v>1234</v>
      </c>
      <c r="E1236" s="656" t="s">
        <v>1234</v>
      </c>
      <c r="F1236" s="655">
        <v>58107</v>
      </c>
      <c r="G1236" s="656" t="s">
        <v>57</v>
      </c>
      <c r="H1236" s="656" t="s">
        <v>1182</v>
      </c>
      <c r="I1236" s="656" t="s">
        <v>58</v>
      </c>
      <c r="J1236" s="655">
        <v>611</v>
      </c>
      <c r="K1236" s="655">
        <v>5</v>
      </c>
      <c r="L1236" s="656" t="s">
        <v>413</v>
      </c>
      <c r="M1236" s="656" t="s">
        <v>42</v>
      </c>
      <c r="N1236" s="656" t="s">
        <v>46</v>
      </c>
      <c r="O1236" s="656" t="s">
        <v>46</v>
      </c>
      <c r="P1236" s="656" t="s">
        <v>47</v>
      </c>
      <c r="Q1236" s="657">
        <v>324</v>
      </c>
      <c r="R1236" s="657">
        <v>46</v>
      </c>
      <c r="S1236" s="657">
        <v>1899</v>
      </c>
      <c r="T1236" s="657">
        <v>271</v>
      </c>
      <c r="U1236" s="657">
        <v>37.356000000000002</v>
      </c>
      <c r="V1236" s="655">
        <v>2021</v>
      </c>
      <c r="W1236" s="659"/>
      <c r="X1236" s="660" t="str">
        <f t="shared" si="59"/>
        <v/>
      </c>
      <c r="Y1236" s="661" t="str">
        <f t="shared" si="57"/>
        <v/>
      </c>
      <c r="Z1236" s="661" t="str">
        <f t="shared" si="58"/>
        <v/>
      </c>
    </row>
    <row r="1237" spans="1:26" s="128" customFormat="1" ht="25" hidden="1">
      <c r="A1237" s="655">
        <v>58157</v>
      </c>
      <c r="B1237" s="656" t="s">
        <v>54</v>
      </c>
      <c r="C1237" s="655" t="s">
        <v>2793</v>
      </c>
      <c r="D1237" s="656" t="s">
        <v>1234</v>
      </c>
      <c r="E1237" s="656" t="s">
        <v>1234</v>
      </c>
      <c r="F1237" s="655">
        <v>58107</v>
      </c>
      <c r="G1237" s="656" t="s">
        <v>57</v>
      </c>
      <c r="H1237" s="656" t="s">
        <v>1182</v>
      </c>
      <c r="I1237" s="656" t="s">
        <v>58</v>
      </c>
      <c r="J1237" s="655">
        <v>611</v>
      </c>
      <c r="K1237" s="655">
        <v>5</v>
      </c>
      <c r="L1237" s="656" t="s">
        <v>413</v>
      </c>
      <c r="M1237" s="656" t="s">
        <v>42</v>
      </c>
      <c r="N1237" s="656" t="s">
        <v>39</v>
      </c>
      <c r="O1237" s="656" t="s">
        <v>39</v>
      </c>
      <c r="P1237" s="656" t="s">
        <v>1037</v>
      </c>
      <c r="Q1237" s="657">
        <v>2012897</v>
      </c>
      <c r="R1237" s="657">
        <v>182195</v>
      </c>
      <c r="S1237" s="657">
        <v>2073283</v>
      </c>
      <c r="T1237" s="657">
        <v>187660</v>
      </c>
      <c r="U1237" s="657">
        <v>25451.644</v>
      </c>
      <c r="V1237" s="655">
        <v>2021</v>
      </c>
      <c r="W1237" s="659"/>
      <c r="X1237" s="660" t="str">
        <f t="shared" si="59"/>
        <v/>
      </c>
      <c r="Y1237" s="661" t="str">
        <f t="shared" si="57"/>
        <v/>
      </c>
      <c r="Z1237" s="661" t="str">
        <f t="shared" si="58"/>
        <v/>
      </c>
    </row>
    <row r="1238" spans="1:26" s="128" customFormat="1" ht="25" hidden="1">
      <c r="A1238" s="655">
        <v>58158</v>
      </c>
      <c r="B1238" s="656" t="s">
        <v>54</v>
      </c>
      <c r="C1238" s="655" t="s">
        <v>2793</v>
      </c>
      <c r="D1238" s="656" t="s">
        <v>1235</v>
      </c>
      <c r="E1238" s="656" t="s">
        <v>1236</v>
      </c>
      <c r="F1238" s="655">
        <v>58131</v>
      </c>
      <c r="G1238" s="656" t="s">
        <v>41</v>
      </c>
      <c r="H1238" s="656" t="s">
        <v>1183</v>
      </c>
      <c r="I1238" s="656" t="s">
        <v>58</v>
      </c>
      <c r="J1238" s="655">
        <v>611</v>
      </c>
      <c r="K1238" s="655">
        <v>5</v>
      </c>
      <c r="L1238" s="656" t="s">
        <v>413</v>
      </c>
      <c r="M1238" s="656" t="s">
        <v>51</v>
      </c>
      <c r="N1238" s="656" t="s">
        <v>39</v>
      </c>
      <c r="O1238" s="656" t="s">
        <v>39</v>
      </c>
      <c r="P1238" s="656" t="s">
        <v>1037</v>
      </c>
      <c r="Q1238" s="657">
        <v>102209</v>
      </c>
      <c r="R1238" s="657">
        <v>79799</v>
      </c>
      <c r="S1238" s="657">
        <v>105994</v>
      </c>
      <c r="T1238" s="657">
        <v>82752</v>
      </c>
      <c r="U1238" s="657">
        <v>10695.72</v>
      </c>
      <c r="V1238" s="655">
        <v>2021</v>
      </c>
      <c r="W1238" s="659"/>
      <c r="X1238" s="660" t="str">
        <f t="shared" si="59"/>
        <v/>
      </c>
      <c r="Y1238" s="661" t="str">
        <f t="shared" si="57"/>
        <v/>
      </c>
      <c r="Z1238" s="661" t="str">
        <f t="shared" si="58"/>
        <v/>
      </c>
    </row>
    <row r="1239" spans="1:26" s="128" customFormat="1" ht="25" hidden="1">
      <c r="A1239" s="655">
        <v>58159</v>
      </c>
      <c r="B1239" s="656" t="s">
        <v>54</v>
      </c>
      <c r="C1239" s="655" t="s">
        <v>2793</v>
      </c>
      <c r="D1239" s="656" t="s">
        <v>1237</v>
      </c>
      <c r="E1239" s="656" t="s">
        <v>1238</v>
      </c>
      <c r="F1239" s="655">
        <v>58130</v>
      </c>
      <c r="G1239" s="656" t="s">
        <v>41</v>
      </c>
      <c r="H1239" s="656" t="s">
        <v>1183</v>
      </c>
      <c r="I1239" s="656" t="s">
        <v>58</v>
      </c>
      <c r="J1239" s="655">
        <v>611</v>
      </c>
      <c r="K1239" s="655">
        <v>5</v>
      </c>
      <c r="L1239" s="656" t="s">
        <v>413</v>
      </c>
      <c r="M1239" s="656" t="s">
        <v>38</v>
      </c>
      <c r="N1239" s="656" t="s">
        <v>46</v>
      </c>
      <c r="O1239" s="656" t="s">
        <v>46</v>
      </c>
      <c r="P1239" s="656" t="s">
        <v>47</v>
      </c>
      <c r="Q1239" s="657">
        <v>0</v>
      </c>
      <c r="R1239" s="657">
        <v>0</v>
      </c>
      <c r="S1239" s="657">
        <v>0</v>
      </c>
      <c r="T1239" s="657">
        <v>0</v>
      </c>
      <c r="U1239" s="657">
        <v>95.11</v>
      </c>
      <c r="V1239" s="655">
        <v>2021</v>
      </c>
      <c r="W1239" s="659"/>
      <c r="X1239" s="660" t="str">
        <f t="shared" si="59"/>
        <v/>
      </c>
      <c r="Y1239" s="661" t="str">
        <f t="shared" si="57"/>
        <v/>
      </c>
      <c r="Z1239" s="661" t="str">
        <f t="shared" si="58"/>
        <v/>
      </c>
    </row>
    <row r="1240" spans="1:26" s="128" customFormat="1" ht="25" hidden="1">
      <c r="A1240" s="655">
        <v>58159</v>
      </c>
      <c r="B1240" s="656" t="s">
        <v>54</v>
      </c>
      <c r="C1240" s="655" t="s">
        <v>2793</v>
      </c>
      <c r="D1240" s="656" t="s">
        <v>1237</v>
      </c>
      <c r="E1240" s="656" t="s">
        <v>1238</v>
      </c>
      <c r="F1240" s="655">
        <v>58130</v>
      </c>
      <c r="G1240" s="656" t="s">
        <v>41</v>
      </c>
      <c r="H1240" s="656" t="s">
        <v>1183</v>
      </c>
      <c r="I1240" s="656" t="s">
        <v>58</v>
      </c>
      <c r="J1240" s="655">
        <v>611</v>
      </c>
      <c r="K1240" s="655">
        <v>5</v>
      </c>
      <c r="L1240" s="656" t="s">
        <v>413</v>
      </c>
      <c r="M1240" s="656" t="s">
        <v>38</v>
      </c>
      <c r="N1240" s="656" t="s">
        <v>39</v>
      </c>
      <c r="O1240" s="656" t="s">
        <v>39</v>
      </c>
      <c r="P1240" s="656" t="s">
        <v>1037</v>
      </c>
      <c r="Q1240" s="657">
        <v>150192</v>
      </c>
      <c r="R1240" s="657">
        <v>47380</v>
      </c>
      <c r="S1240" s="657">
        <v>165663</v>
      </c>
      <c r="T1240" s="657">
        <v>52260</v>
      </c>
      <c r="U1240" s="657">
        <v>8744.89</v>
      </c>
      <c r="V1240" s="655">
        <v>2021</v>
      </c>
      <c r="W1240" s="659"/>
      <c r="X1240" s="660" t="str">
        <f t="shared" si="59"/>
        <v/>
      </c>
      <c r="Y1240" s="661" t="str">
        <f t="shared" si="57"/>
        <v/>
      </c>
      <c r="Z1240" s="661" t="str">
        <f t="shared" si="58"/>
        <v/>
      </c>
    </row>
    <row r="1241" spans="1:26" s="128" customFormat="1" ht="25" hidden="1">
      <c r="A1241" s="655">
        <v>58159</v>
      </c>
      <c r="B1241" s="656" t="s">
        <v>54</v>
      </c>
      <c r="C1241" s="655" t="s">
        <v>2793</v>
      </c>
      <c r="D1241" s="656" t="s">
        <v>1237</v>
      </c>
      <c r="E1241" s="656" t="s">
        <v>1238</v>
      </c>
      <c r="F1241" s="655">
        <v>58130</v>
      </c>
      <c r="G1241" s="656" t="s">
        <v>41</v>
      </c>
      <c r="H1241" s="656" t="s">
        <v>1183</v>
      </c>
      <c r="I1241" s="656" t="s">
        <v>58</v>
      </c>
      <c r="J1241" s="655">
        <v>611</v>
      </c>
      <c r="K1241" s="655">
        <v>5</v>
      </c>
      <c r="L1241" s="656" t="s">
        <v>413</v>
      </c>
      <c r="M1241" s="656" t="s">
        <v>41</v>
      </c>
      <c r="N1241" s="656" t="s">
        <v>46</v>
      </c>
      <c r="O1241" s="656" t="s">
        <v>46</v>
      </c>
      <c r="P1241" s="656" t="s">
        <v>47</v>
      </c>
      <c r="Q1241" s="657">
        <v>2531</v>
      </c>
      <c r="R1241" s="657">
        <v>1316</v>
      </c>
      <c r="S1241" s="657">
        <v>14989</v>
      </c>
      <c r="T1241" s="657">
        <v>7794</v>
      </c>
      <c r="U1241" s="657">
        <v>1208.442</v>
      </c>
      <c r="V1241" s="655">
        <v>2021</v>
      </c>
      <c r="W1241" s="659"/>
      <c r="X1241" s="660" t="str">
        <f t="shared" si="59"/>
        <v/>
      </c>
      <c r="Y1241" s="661" t="str">
        <f t="shared" si="57"/>
        <v/>
      </c>
      <c r="Z1241" s="661" t="str">
        <f t="shared" si="58"/>
        <v/>
      </c>
    </row>
    <row r="1242" spans="1:26" s="128" customFormat="1" ht="25" hidden="1">
      <c r="A1242" s="655">
        <v>58159</v>
      </c>
      <c r="B1242" s="656" t="s">
        <v>54</v>
      </c>
      <c r="C1242" s="655" t="s">
        <v>2793</v>
      </c>
      <c r="D1242" s="656" t="s">
        <v>1237</v>
      </c>
      <c r="E1242" s="656" t="s">
        <v>1238</v>
      </c>
      <c r="F1242" s="655">
        <v>58130</v>
      </c>
      <c r="G1242" s="656" t="s">
        <v>41</v>
      </c>
      <c r="H1242" s="656" t="s">
        <v>1183</v>
      </c>
      <c r="I1242" s="656" t="s">
        <v>58</v>
      </c>
      <c r="J1242" s="655">
        <v>611</v>
      </c>
      <c r="K1242" s="655">
        <v>5</v>
      </c>
      <c r="L1242" s="656" t="s">
        <v>413</v>
      </c>
      <c r="M1242" s="656" t="s">
        <v>41</v>
      </c>
      <c r="N1242" s="656" t="s">
        <v>39</v>
      </c>
      <c r="O1242" s="656" t="s">
        <v>39</v>
      </c>
      <c r="P1242" s="656" t="s">
        <v>1037</v>
      </c>
      <c r="Q1242" s="657">
        <v>1193965</v>
      </c>
      <c r="R1242" s="657">
        <v>584386</v>
      </c>
      <c r="S1242" s="657">
        <v>1316943</v>
      </c>
      <c r="T1242" s="657">
        <v>644577</v>
      </c>
      <c r="U1242" s="657">
        <v>107811.56</v>
      </c>
      <c r="V1242" s="655">
        <v>2021</v>
      </c>
      <c r="W1242" s="659"/>
      <c r="X1242" s="660" t="str">
        <f t="shared" si="59"/>
        <v/>
      </c>
      <c r="Y1242" s="661" t="str">
        <f t="shared" si="57"/>
        <v/>
      </c>
      <c r="Z1242" s="661" t="str">
        <f t="shared" si="58"/>
        <v/>
      </c>
    </row>
    <row r="1243" spans="1:26" s="128" customFormat="1" ht="25" hidden="1">
      <c r="A1243" s="655">
        <v>58160</v>
      </c>
      <c r="B1243" s="656" t="s">
        <v>54</v>
      </c>
      <c r="C1243" s="655" t="s">
        <v>2793</v>
      </c>
      <c r="D1243" s="656" t="s">
        <v>1239</v>
      </c>
      <c r="E1243" s="656" t="s">
        <v>1240</v>
      </c>
      <c r="F1243" s="655">
        <v>58109</v>
      </c>
      <c r="G1243" s="656" t="s">
        <v>81</v>
      </c>
      <c r="H1243" s="656" t="s">
        <v>1183</v>
      </c>
      <c r="I1243" s="656" t="s">
        <v>58</v>
      </c>
      <c r="J1243" s="655">
        <v>611</v>
      </c>
      <c r="K1243" s="655">
        <v>5</v>
      </c>
      <c r="L1243" s="656" t="s">
        <v>413</v>
      </c>
      <c r="M1243" s="656" t="s">
        <v>51</v>
      </c>
      <c r="N1243" s="656" t="s">
        <v>46</v>
      </c>
      <c r="O1243" s="656" t="s">
        <v>46</v>
      </c>
      <c r="P1243" s="656" t="s">
        <v>47</v>
      </c>
      <c r="Q1243" s="657">
        <v>5</v>
      </c>
      <c r="R1243" s="657">
        <v>2</v>
      </c>
      <c r="S1243" s="657">
        <v>29</v>
      </c>
      <c r="T1243" s="657">
        <v>9</v>
      </c>
      <c r="U1243" s="657">
        <v>2</v>
      </c>
      <c r="V1243" s="655">
        <v>2021</v>
      </c>
      <c r="W1243" s="659"/>
      <c r="X1243" s="660" t="str">
        <f t="shared" si="59"/>
        <v/>
      </c>
      <c r="Y1243" s="661" t="str">
        <f t="shared" si="57"/>
        <v/>
      </c>
      <c r="Z1243" s="661" t="str">
        <f t="shared" si="58"/>
        <v/>
      </c>
    </row>
    <row r="1244" spans="1:26" s="128" customFormat="1" ht="25" hidden="1">
      <c r="A1244" s="655">
        <v>58160</v>
      </c>
      <c r="B1244" s="656" t="s">
        <v>54</v>
      </c>
      <c r="C1244" s="655" t="s">
        <v>2793</v>
      </c>
      <c r="D1244" s="656" t="s">
        <v>1239</v>
      </c>
      <c r="E1244" s="656" t="s">
        <v>1240</v>
      </c>
      <c r="F1244" s="655">
        <v>58109</v>
      </c>
      <c r="G1244" s="656" t="s">
        <v>81</v>
      </c>
      <c r="H1244" s="656" t="s">
        <v>1183</v>
      </c>
      <c r="I1244" s="656" t="s">
        <v>58</v>
      </c>
      <c r="J1244" s="655">
        <v>611</v>
      </c>
      <c r="K1244" s="655">
        <v>5</v>
      </c>
      <c r="L1244" s="656" t="s">
        <v>413</v>
      </c>
      <c r="M1244" s="656" t="s">
        <v>42</v>
      </c>
      <c r="N1244" s="656" t="s">
        <v>46</v>
      </c>
      <c r="O1244" s="656" t="s">
        <v>46</v>
      </c>
      <c r="P1244" s="656" t="s">
        <v>47</v>
      </c>
      <c r="Q1244" s="657">
        <v>6</v>
      </c>
      <c r="R1244" s="657">
        <v>1</v>
      </c>
      <c r="S1244" s="657">
        <v>35</v>
      </c>
      <c r="T1244" s="657">
        <v>5</v>
      </c>
      <c r="U1244" s="657">
        <v>0.86799999999999999</v>
      </c>
      <c r="V1244" s="655">
        <v>2021</v>
      </c>
      <c r="W1244" s="659"/>
      <c r="X1244" s="660" t="str">
        <f t="shared" si="59"/>
        <v/>
      </c>
      <c r="Y1244" s="661" t="str">
        <f t="shared" si="57"/>
        <v/>
      </c>
      <c r="Z1244" s="661" t="str">
        <f t="shared" si="58"/>
        <v/>
      </c>
    </row>
    <row r="1245" spans="1:26" s="128" customFormat="1" ht="25" hidden="1">
      <c r="A1245" s="655">
        <v>58160</v>
      </c>
      <c r="B1245" s="656" t="s">
        <v>54</v>
      </c>
      <c r="C1245" s="655" t="s">
        <v>2793</v>
      </c>
      <c r="D1245" s="656" t="s">
        <v>1239</v>
      </c>
      <c r="E1245" s="656" t="s">
        <v>1240</v>
      </c>
      <c r="F1245" s="655">
        <v>58109</v>
      </c>
      <c r="G1245" s="656" t="s">
        <v>81</v>
      </c>
      <c r="H1245" s="656" t="s">
        <v>1183</v>
      </c>
      <c r="I1245" s="656" t="s">
        <v>58</v>
      </c>
      <c r="J1245" s="655">
        <v>611</v>
      </c>
      <c r="K1245" s="655">
        <v>5</v>
      </c>
      <c r="L1245" s="656" t="s">
        <v>413</v>
      </c>
      <c r="M1245" s="656" t="s">
        <v>42</v>
      </c>
      <c r="N1245" s="656" t="s">
        <v>39</v>
      </c>
      <c r="O1245" s="656" t="s">
        <v>39</v>
      </c>
      <c r="P1245" s="656" t="s">
        <v>1037</v>
      </c>
      <c r="Q1245" s="657">
        <v>116887</v>
      </c>
      <c r="R1245" s="657">
        <v>15485</v>
      </c>
      <c r="S1245" s="657">
        <v>120393</v>
      </c>
      <c r="T1245" s="657">
        <v>15949</v>
      </c>
      <c r="U1245" s="657">
        <v>3005.1320000000001</v>
      </c>
      <c r="V1245" s="655">
        <v>2021</v>
      </c>
      <c r="W1245" s="659"/>
      <c r="X1245" s="660" t="str">
        <f t="shared" si="59"/>
        <v/>
      </c>
      <c r="Y1245" s="661" t="str">
        <f t="shared" si="57"/>
        <v/>
      </c>
      <c r="Z1245" s="661" t="str">
        <f t="shared" si="58"/>
        <v/>
      </c>
    </row>
    <row r="1246" spans="1:26" s="128" customFormat="1" ht="25" hidden="1">
      <c r="A1246" s="655">
        <v>58160</v>
      </c>
      <c r="B1246" s="656" t="s">
        <v>54</v>
      </c>
      <c r="C1246" s="655" t="s">
        <v>2793</v>
      </c>
      <c r="D1246" s="656" t="s">
        <v>1239</v>
      </c>
      <c r="E1246" s="656" t="s">
        <v>1240</v>
      </c>
      <c r="F1246" s="655">
        <v>58109</v>
      </c>
      <c r="G1246" s="656" t="s">
        <v>81</v>
      </c>
      <c r="H1246" s="656" t="s">
        <v>1183</v>
      </c>
      <c r="I1246" s="656" t="s">
        <v>58</v>
      </c>
      <c r="J1246" s="655">
        <v>611</v>
      </c>
      <c r="K1246" s="655">
        <v>5</v>
      </c>
      <c r="L1246" s="656" t="s">
        <v>413</v>
      </c>
      <c r="M1246" s="656" t="s">
        <v>42</v>
      </c>
      <c r="N1246" s="656" t="s">
        <v>61</v>
      </c>
      <c r="O1246" s="656" t="s">
        <v>61</v>
      </c>
      <c r="P1246" s="656" t="s">
        <v>47</v>
      </c>
      <c r="Q1246" s="657">
        <v>0</v>
      </c>
      <c r="R1246" s="657">
        <v>0</v>
      </c>
      <c r="S1246" s="657">
        <v>0</v>
      </c>
      <c r="T1246" s="657">
        <v>0</v>
      </c>
      <c r="U1246" s="657">
        <v>0</v>
      </c>
      <c r="V1246" s="655">
        <v>2021</v>
      </c>
      <c r="W1246" s="659"/>
      <c r="X1246" s="660" t="str">
        <f t="shared" si="59"/>
        <v/>
      </c>
      <c r="Y1246" s="661" t="str">
        <f t="shared" si="57"/>
        <v/>
      </c>
      <c r="Z1246" s="661" t="str">
        <f t="shared" si="58"/>
        <v/>
      </c>
    </row>
    <row r="1247" spans="1:26" s="128" customFormat="1" ht="25" hidden="1">
      <c r="A1247" s="655">
        <v>58166</v>
      </c>
      <c r="B1247" s="656" t="s">
        <v>54</v>
      </c>
      <c r="C1247" s="655" t="s">
        <v>2793</v>
      </c>
      <c r="D1247" s="656" t="s">
        <v>1241</v>
      </c>
      <c r="E1247" s="656" t="s">
        <v>1242</v>
      </c>
      <c r="F1247" s="655">
        <v>58138</v>
      </c>
      <c r="G1247" s="656" t="s">
        <v>81</v>
      </c>
      <c r="H1247" s="656" t="s">
        <v>1183</v>
      </c>
      <c r="I1247" s="656" t="s">
        <v>58</v>
      </c>
      <c r="J1247" s="655">
        <v>611</v>
      </c>
      <c r="K1247" s="655">
        <v>5</v>
      </c>
      <c r="L1247" s="656" t="s">
        <v>413</v>
      </c>
      <c r="M1247" s="656" t="s">
        <v>50</v>
      </c>
      <c r="N1247" s="656" t="s">
        <v>46</v>
      </c>
      <c r="O1247" s="656" t="s">
        <v>46</v>
      </c>
      <c r="P1247" s="656" t="s">
        <v>47</v>
      </c>
      <c r="Q1247" s="657">
        <v>0</v>
      </c>
      <c r="R1247" s="657">
        <v>0</v>
      </c>
      <c r="S1247" s="657">
        <v>0</v>
      </c>
      <c r="T1247" s="657">
        <v>0</v>
      </c>
      <c r="U1247" s="657">
        <v>0</v>
      </c>
      <c r="V1247" s="655">
        <v>2021</v>
      </c>
      <c r="W1247" s="659"/>
      <c r="X1247" s="660" t="str">
        <f t="shared" si="59"/>
        <v/>
      </c>
      <c r="Y1247" s="661" t="str">
        <f t="shared" si="57"/>
        <v/>
      </c>
      <c r="Z1247" s="661" t="str">
        <f t="shared" si="58"/>
        <v/>
      </c>
    </row>
    <row r="1248" spans="1:26" s="128" customFormat="1" ht="25" hidden="1">
      <c r="A1248" s="655">
        <v>58166</v>
      </c>
      <c r="B1248" s="656" t="s">
        <v>54</v>
      </c>
      <c r="C1248" s="655" t="s">
        <v>2793</v>
      </c>
      <c r="D1248" s="656" t="s">
        <v>1241</v>
      </c>
      <c r="E1248" s="656" t="s">
        <v>1242</v>
      </c>
      <c r="F1248" s="655">
        <v>58138</v>
      </c>
      <c r="G1248" s="656" t="s">
        <v>81</v>
      </c>
      <c r="H1248" s="656" t="s">
        <v>1183</v>
      </c>
      <c r="I1248" s="656" t="s">
        <v>58</v>
      </c>
      <c r="J1248" s="655">
        <v>611</v>
      </c>
      <c r="K1248" s="655">
        <v>5</v>
      </c>
      <c r="L1248" s="656" t="s">
        <v>413</v>
      </c>
      <c r="M1248" s="656" t="s">
        <v>50</v>
      </c>
      <c r="N1248" s="656" t="s">
        <v>39</v>
      </c>
      <c r="O1248" s="656" t="s">
        <v>39</v>
      </c>
      <c r="P1248" s="656" t="s">
        <v>1037</v>
      </c>
      <c r="Q1248" s="657">
        <v>288221</v>
      </c>
      <c r="R1248" s="657">
        <v>68032</v>
      </c>
      <c r="S1248" s="657">
        <v>230575</v>
      </c>
      <c r="T1248" s="657">
        <v>54425</v>
      </c>
      <c r="U1248" s="657">
        <v>13399</v>
      </c>
      <c r="V1248" s="655">
        <v>2021</v>
      </c>
      <c r="W1248" s="659"/>
      <c r="X1248" s="660" t="str">
        <f t="shared" si="59"/>
        <v/>
      </c>
      <c r="Y1248" s="661">
        <f t="shared" si="57"/>
        <v>6.618605292013755</v>
      </c>
      <c r="Z1248" s="661" t="str">
        <f t="shared" si="58"/>
        <v/>
      </c>
    </row>
    <row r="1249" spans="1:26" s="128" customFormat="1" ht="25" hidden="1">
      <c r="A1249" s="655">
        <v>58167</v>
      </c>
      <c r="B1249" s="656" t="s">
        <v>54</v>
      </c>
      <c r="C1249" s="655" t="s">
        <v>2793</v>
      </c>
      <c r="D1249" s="656" t="s">
        <v>1696</v>
      </c>
      <c r="E1249" s="656" t="s">
        <v>1696</v>
      </c>
      <c r="F1249" s="655">
        <v>58136</v>
      </c>
      <c r="G1249" s="656" t="s">
        <v>57</v>
      </c>
      <c r="H1249" s="656" t="s">
        <v>1182</v>
      </c>
      <c r="I1249" s="656" t="s">
        <v>58</v>
      </c>
      <c r="J1249" s="655">
        <v>611</v>
      </c>
      <c r="K1249" s="655">
        <v>5</v>
      </c>
      <c r="L1249" s="656" t="s">
        <v>413</v>
      </c>
      <c r="M1249" s="656" t="s">
        <v>51</v>
      </c>
      <c r="N1249" s="656" t="s">
        <v>46</v>
      </c>
      <c r="O1249" s="656" t="s">
        <v>46</v>
      </c>
      <c r="P1249" s="656" t="s">
        <v>47</v>
      </c>
      <c r="Q1249" s="657">
        <v>0</v>
      </c>
      <c r="R1249" s="657">
        <v>0</v>
      </c>
      <c r="S1249" s="657">
        <v>0</v>
      </c>
      <c r="T1249" s="657">
        <v>0</v>
      </c>
      <c r="U1249" s="657">
        <v>0</v>
      </c>
      <c r="V1249" s="655">
        <v>2021</v>
      </c>
      <c r="W1249" s="659"/>
      <c r="X1249" s="660" t="str">
        <f t="shared" si="59"/>
        <v/>
      </c>
      <c r="Y1249" s="661" t="str">
        <f t="shared" si="57"/>
        <v/>
      </c>
      <c r="Z1249" s="661" t="str">
        <f t="shared" si="58"/>
        <v/>
      </c>
    </row>
    <row r="1250" spans="1:26" s="128" customFormat="1" ht="25" hidden="1">
      <c r="A1250" s="655">
        <v>58167</v>
      </c>
      <c r="B1250" s="656" t="s">
        <v>54</v>
      </c>
      <c r="C1250" s="655" t="s">
        <v>2793</v>
      </c>
      <c r="D1250" s="656" t="s">
        <v>1696</v>
      </c>
      <c r="E1250" s="656" t="s">
        <v>1696</v>
      </c>
      <c r="F1250" s="655">
        <v>58136</v>
      </c>
      <c r="G1250" s="656" t="s">
        <v>57</v>
      </c>
      <c r="H1250" s="656" t="s">
        <v>1182</v>
      </c>
      <c r="I1250" s="656" t="s">
        <v>58</v>
      </c>
      <c r="J1250" s="655">
        <v>611</v>
      </c>
      <c r="K1250" s="655">
        <v>5</v>
      </c>
      <c r="L1250" s="656" t="s">
        <v>413</v>
      </c>
      <c r="M1250" s="656" t="s">
        <v>51</v>
      </c>
      <c r="N1250" s="656" t="s">
        <v>39</v>
      </c>
      <c r="O1250" s="656" t="s">
        <v>39</v>
      </c>
      <c r="P1250" s="656" t="s">
        <v>1037</v>
      </c>
      <c r="Q1250" s="657">
        <v>169357</v>
      </c>
      <c r="R1250" s="657">
        <v>12660</v>
      </c>
      <c r="S1250" s="657">
        <v>174438</v>
      </c>
      <c r="T1250" s="657">
        <v>13038</v>
      </c>
      <c r="U1250" s="657">
        <v>2670</v>
      </c>
      <c r="V1250" s="655">
        <v>2021</v>
      </c>
      <c r="W1250" s="659"/>
      <c r="X1250" s="660" t="str">
        <f t="shared" si="59"/>
        <v/>
      </c>
      <c r="Y1250" s="661" t="str">
        <f t="shared" si="57"/>
        <v/>
      </c>
      <c r="Z1250" s="661" t="str">
        <f t="shared" si="58"/>
        <v/>
      </c>
    </row>
    <row r="1251" spans="1:26" s="128" customFormat="1" ht="25">
      <c r="A1251" s="655">
        <v>58174</v>
      </c>
      <c r="B1251" s="656" t="s">
        <v>33</v>
      </c>
      <c r="C1251" s="655" t="s">
        <v>2793</v>
      </c>
      <c r="D1251" s="656" t="s">
        <v>1607</v>
      </c>
      <c r="E1251" s="656" t="s">
        <v>1219</v>
      </c>
      <c r="F1251" s="655">
        <v>57365</v>
      </c>
      <c r="G1251" s="656" t="s">
        <v>81</v>
      </c>
      <c r="H1251" s="656" t="s">
        <v>1183</v>
      </c>
      <c r="I1251" s="656" t="s">
        <v>58</v>
      </c>
      <c r="J1251" s="655">
        <v>22</v>
      </c>
      <c r="K1251" s="655">
        <v>2</v>
      </c>
      <c r="L1251" s="656" t="s">
        <v>52</v>
      </c>
      <c r="M1251" s="656" t="s">
        <v>448</v>
      </c>
      <c r="N1251" s="656" t="s">
        <v>449</v>
      </c>
      <c r="O1251" s="656" t="s">
        <v>449</v>
      </c>
      <c r="P1251" s="656" t="s">
        <v>1176</v>
      </c>
      <c r="Q1251" s="657">
        <v>0</v>
      </c>
      <c r="R1251" s="657">
        <v>0</v>
      </c>
      <c r="S1251" s="657">
        <v>24293</v>
      </c>
      <c r="T1251" s="657">
        <v>24293</v>
      </c>
      <c r="U1251" s="657">
        <v>2747</v>
      </c>
      <c r="V1251" s="655">
        <v>2021</v>
      </c>
      <c r="W1251" s="659"/>
      <c r="X1251" s="660">
        <f t="shared" si="59"/>
        <v>8.8434655988350936</v>
      </c>
      <c r="Y1251" s="661" t="str">
        <f t="shared" si="57"/>
        <v/>
      </c>
      <c r="Z1251" s="661" t="str">
        <f t="shared" si="58"/>
        <v/>
      </c>
    </row>
    <row r="1252" spans="1:26" s="128" customFormat="1" ht="25" hidden="1">
      <c r="A1252" s="655">
        <v>58180</v>
      </c>
      <c r="B1252" s="656" t="s">
        <v>54</v>
      </c>
      <c r="C1252" s="655" t="s">
        <v>2793</v>
      </c>
      <c r="D1252" s="656" t="s">
        <v>1243</v>
      </c>
      <c r="E1252" s="656" t="s">
        <v>1244</v>
      </c>
      <c r="F1252" s="655">
        <v>58099</v>
      </c>
      <c r="G1252" s="656" t="s">
        <v>96</v>
      </c>
      <c r="H1252" s="656" t="s">
        <v>1183</v>
      </c>
      <c r="I1252" s="656" t="s">
        <v>58</v>
      </c>
      <c r="J1252" s="655">
        <v>611</v>
      </c>
      <c r="K1252" s="655">
        <v>5</v>
      </c>
      <c r="L1252" s="656" t="s">
        <v>413</v>
      </c>
      <c r="M1252" s="656" t="s">
        <v>50</v>
      </c>
      <c r="N1252" s="656" t="s">
        <v>46</v>
      </c>
      <c r="O1252" s="656" t="s">
        <v>46</v>
      </c>
      <c r="P1252" s="656" t="s">
        <v>47</v>
      </c>
      <c r="Q1252" s="657">
        <v>1915</v>
      </c>
      <c r="R1252" s="657">
        <v>565</v>
      </c>
      <c r="S1252" s="657">
        <v>11168</v>
      </c>
      <c r="T1252" s="657">
        <v>3304</v>
      </c>
      <c r="U1252" s="657">
        <v>801.47900000000004</v>
      </c>
      <c r="V1252" s="655">
        <v>2021</v>
      </c>
      <c r="W1252" s="659"/>
      <c r="X1252" s="660" t="str">
        <f t="shared" si="59"/>
        <v/>
      </c>
      <c r="Y1252" s="661" t="str">
        <f t="shared" si="57"/>
        <v/>
      </c>
      <c r="Z1252" s="661">
        <f t="shared" si="58"/>
        <v>5.3593227213496739</v>
      </c>
    </row>
    <row r="1253" spans="1:26" s="128" customFormat="1" ht="25" hidden="1">
      <c r="A1253" s="655">
        <v>58180</v>
      </c>
      <c r="B1253" s="656" t="s">
        <v>54</v>
      </c>
      <c r="C1253" s="655" t="s">
        <v>2793</v>
      </c>
      <c r="D1253" s="656" t="s">
        <v>1243</v>
      </c>
      <c r="E1253" s="656" t="s">
        <v>1244</v>
      </c>
      <c r="F1253" s="655">
        <v>58099</v>
      </c>
      <c r="G1253" s="656" t="s">
        <v>96</v>
      </c>
      <c r="H1253" s="656" t="s">
        <v>1183</v>
      </c>
      <c r="I1253" s="656" t="s">
        <v>58</v>
      </c>
      <c r="J1253" s="655">
        <v>611</v>
      </c>
      <c r="K1253" s="655">
        <v>5</v>
      </c>
      <c r="L1253" s="656" t="s">
        <v>413</v>
      </c>
      <c r="M1253" s="656" t="s">
        <v>50</v>
      </c>
      <c r="N1253" s="656" t="s">
        <v>63</v>
      </c>
      <c r="O1253" s="656" t="s">
        <v>64</v>
      </c>
      <c r="P1253" s="656" t="s">
        <v>1037</v>
      </c>
      <c r="Q1253" s="657">
        <v>743218</v>
      </c>
      <c r="R1253" s="657">
        <v>226133</v>
      </c>
      <c r="S1253" s="657">
        <v>564110</v>
      </c>
      <c r="T1253" s="657">
        <v>171401</v>
      </c>
      <c r="U1253" s="657">
        <v>41588.343999999997</v>
      </c>
      <c r="V1253" s="655">
        <v>2021</v>
      </c>
      <c r="W1253" s="659"/>
      <c r="X1253" s="660" t="str">
        <f t="shared" si="59"/>
        <v/>
      </c>
      <c r="Y1253" s="661" t="str">
        <f t="shared" si="57"/>
        <v/>
      </c>
      <c r="Z1253" s="661" t="str">
        <f t="shared" si="58"/>
        <v/>
      </c>
    </row>
    <row r="1254" spans="1:26" s="128" customFormat="1" ht="25" hidden="1">
      <c r="A1254" s="655">
        <v>58180</v>
      </c>
      <c r="B1254" s="656" t="s">
        <v>54</v>
      </c>
      <c r="C1254" s="655" t="s">
        <v>2793</v>
      </c>
      <c r="D1254" s="656" t="s">
        <v>1243</v>
      </c>
      <c r="E1254" s="656" t="s">
        <v>1244</v>
      </c>
      <c r="F1254" s="655">
        <v>58099</v>
      </c>
      <c r="G1254" s="656" t="s">
        <v>96</v>
      </c>
      <c r="H1254" s="656" t="s">
        <v>1183</v>
      </c>
      <c r="I1254" s="656" t="s">
        <v>58</v>
      </c>
      <c r="J1254" s="655">
        <v>611</v>
      </c>
      <c r="K1254" s="655">
        <v>5</v>
      </c>
      <c r="L1254" s="656" t="s">
        <v>413</v>
      </c>
      <c r="M1254" s="656" t="s">
        <v>50</v>
      </c>
      <c r="N1254" s="656" t="s">
        <v>39</v>
      </c>
      <c r="O1254" s="656" t="s">
        <v>39</v>
      </c>
      <c r="P1254" s="656" t="s">
        <v>1037</v>
      </c>
      <c r="Q1254" s="657">
        <v>160436</v>
      </c>
      <c r="R1254" s="657">
        <v>48873</v>
      </c>
      <c r="S1254" s="657">
        <v>160436</v>
      </c>
      <c r="T1254" s="657">
        <v>48873</v>
      </c>
      <c r="U1254" s="657">
        <v>11858.177</v>
      </c>
      <c r="V1254" s="655">
        <v>2021</v>
      </c>
      <c r="W1254" s="659"/>
      <c r="X1254" s="660" t="str">
        <f t="shared" si="59"/>
        <v/>
      </c>
      <c r="Y1254" s="661">
        <f t="shared" si="57"/>
        <v>5.2036796082697911</v>
      </c>
      <c r="Z1254" s="661" t="str">
        <f t="shared" si="58"/>
        <v/>
      </c>
    </row>
    <row r="1255" spans="1:26" s="128" customFormat="1" ht="25" hidden="1">
      <c r="A1255" s="655">
        <v>58184</v>
      </c>
      <c r="B1255" s="656" t="s">
        <v>54</v>
      </c>
      <c r="C1255" s="655" t="s">
        <v>2793</v>
      </c>
      <c r="D1255" s="656" t="s">
        <v>1245</v>
      </c>
      <c r="E1255" s="656" t="s">
        <v>1246</v>
      </c>
      <c r="F1255" s="655">
        <v>58156</v>
      </c>
      <c r="G1255" s="656" t="s">
        <v>41</v>
      </c>
      <c r="H1255" s="656" t="s">
        <v>1183</v>
      </c>
      <c r="I1255" s="656" t="s">
        <v>58</v>
      </c>
      <c r="J1255" s="655">
        <v>32213</v>
      </c>
      <c r="K1255" s="655">
        <v>7</v>
      </c>
      <c r="L1255" s="656" t="s">
        <v>409</v>
      </c>
      <c r="M1255" s="656" t="s">
        <v>50</v>
      </c>
      <c r="N1255" s="656" t="s">
        <v>46</v>
      </c>
      <c r="O1255" s="656" t="s">
        <v>46</v>
      </c>
      <c r="P1255" s="656" t="s">
        <v>47</v>
      </c>
      <c r="Q1255" s="657">
        <v>0</v>
      </c>
      <c r="R1255" s="657">
        <v>0</v>
      </c>
      <c r="S1255" s="657">
        <v>0</v>
      </c>
      <c r="T1255" s="657">
        <v>0</v>
      </c>
      <c r="U1255" s="657">
        <v>0</v>
      </c>
      <c r="V1255" s="655">
        <v>2021</v>
      </c>
      <c r="W1255" s="659"/>
      <c r="X1255" s="660" t="str">
        <f t="shared" si="59"/>
        <v/>
      </c>
      <c r="Y1255" s="661" t="str">
        <f t="shared" si="57"/>
        <v/>
      </c>
      <c r="Z1255" s="661" t="str">
        <f t="shared" si="58"/>
        <v/>
      </c>
    </row>
    <row r="1256" spans="1:26" s="128" customFormat="1" ht="25" hidden="1">
      <c r="A1256" s="655">
        <v>58184</v>
      </c>
      <c r="B1256" s="656" t="s">
        <v>54</v>
      </c>
      <c r="C1256" s="655" t="s">
        <v>2793</v>
      </c>
      <c r="D1256" s="656" t="s">
        <v>1245</v>
      </c>
      <c r="E1256" s="656" t="s">
        <v>1246</v>
      </c>
      <c r="F1256" s="655">
        <v>58156</v>
      </c>
      <c r="G1256" s="656" t="s">
        <v>41</v>
      </c>
      <c r="H1256" s="656" t="s">
        <v>1183</v>
      </c>
      <c r="I1256" s="656" t="s">
        <v>58</v>
      </c>
      <c r="J1256" s="655">
        <v>32213</v>
      </c>
      <c r="K1256" s="655">
        <v>7</v>
      </c>
      <c r="L1256" s="656" t="s">
        <v>409</v>
      </c>
      <c r="M1256" s="656" t="s">
        <v>50</v>
      </c>
      <c r="N1256" s="656" t="s">
        <v>39</v>
      </c>
      <c r="O1256" s="656" t="s">
        <v>39</v>
      </c>
      <c r="P1256" s="656" t="s">
        <v>1037</v>
      </c>
      <c r="Q1256" s="657">
        <v>1708435</v>
      </c>
      <c r="R1256" s="657">
        <v>502794</v>
      </c>
      <c r="S1256" s="657">
        <v>1708435</v>
      </c>
      <c r="T1256" s="657">
        <v>502794</v>
      </c>
      <c r="U1256" s="657">
        <v>119483</v>
      </c>
      <c r="V1256" s="655">
        <v>2021</v>
      </c>
      <c r="W1256" s="659"/>
      <c r="X1256" s="660" t="str">
        <f t="shared" si="59"/>
        <v/>
      </c>
      <c r="Y1256" s="661">
        <f t="shared" si="57"/>
        <v>6.619704306299889</v>
      </c>
      <c r="Z1256" s="661" t="str">
        <f t="shared" si="58"/>
        <v/>
      </c>
    </row>
    <row r="1257" spans="1:26" s="128" customFormat="1" ht="25" hidden="1">
      <c r="A1257" s="655">
        <v>58185</v>
      </c>
      <c r="B1257" s="656" t="s">
        <v>54</v>
      </c>
      <c r="C1257" s="655" t="s">
        <v>2793</v>
      </c>
      <c r="D1257" s="656" t="s">
        <v>1247</v>
      </c>
      <c r="E1257" s="656" t="s">
        <v>1248</v>
      </c>
      <c r="F1257" s="655">
        <v>58152</v>
      </c>
      <c r="G1257" s="656" t="s">
        <v>81</v>
      </c>
      <c r="H1257" s="656" t="s">
        <v>1183</v>
      </c>
      <c r="I1257" s="656" t="s">
        <v>58</v>
      </c>
      <c r="J1257" s="655">
        <v>611</v>
      </c>
      <c r="K1257" s="655">
        <v>5</v>
      </c>
      <c r="L1257" s="656" t="s">
        <v>413</v>
      </c>
      <c r="M1257" s="656" t="s">
        <v>50</v>
      </c>
      <c r="N1257" s="656" t="s">
        <v>46</v>
      </c>
      <c r="O1257" s="656" t="s">
        <v>46</v>
      </c>
      <c r="P1257" s="656" t="s">
        <v>47</v>
      </c>
      <c r="Q1257" s="657">
        <v>0</v>
      </c>
      <c r="R1257" s="657">
        <v>0</v>
      </c>
      <c r="S1257" s="657">
        <v>0</v>
      </c>
      <c r="T1257" s="657">
        <v>0</v>
      </c>
      <c r="U1257" s="657">
        <v>0</v>
      </c>
      <c r="V1257" s="655">
        <v>2021</v>
      </c>
      <c r="W1257" s="659"/>
      <c r="X1257" s="660" t="str">
        <f t="shared" si="59"/>
        <v/>
      </c>
      <c r="Y1257" s="661" t="str">
        <f t="shared" si="57"/>
        <v/>
      </c>
      <c r="Z1257" s="661" t="str">
        <f t="shared" si="58"/>
        <v/>
      </c>
    </row>
    <row r="1258" spans="1:26" s="128" customFormat="1" ht="25" hidden="1">
      <c r="A1258" s="655">
        <v>58185</v>
      </c>
      <c r="B1258" s="656" t="s">
        <v>54</v>
      </c>
      <c r="C1258" s="655" t="s">
        <v>2793</v>
      </c>
      <c r="D1258" s="656" t="s">
        <v>1247</v>
      </c>
      <c r="E1258" s="656" t="s">
        <v>1248</v>
      </c>
      <c r="F1258" s="655">
        <v>58152</v>
      </c>
      <c r="G1258" s="656" t="s">
        <v>81</v>
      </c>
      <c r="H1258" s="656" t="s">
        <v>1183</v>
      </c>
      <c r="I1258" s="656" t="s">
        <v>58</v>
      </c>
      <c r="J1258" s="655">
        <v>611</v>
      </c>
      <c r="K1258" s="655">
        <v>5</v>
      </c>
      <c r="L1258" s="656" t="s">
        <v>413</v>
      </c>
      <c r="M1258" s="656" t="s">
        <v>50</v>
      </c>
      <c r="N1258" s="656" t="s">
        <v>39</v>
      </c>
      <c r="O1258" s="656" t="s">
        <v>39</v>
      </c>
      <c r="P1258" s="656" t="s">
        <v>1037</v>
      </c>
      <c r="Q1258" s="657">
        <v>118576</v>
      </c>
      <c r="R1258" s="657">
        <v>33724</v>
      </c>
      <c r="S1258" s="657">
        <v>118576</v>
      </c>
      <c r="T1258" s="657">
        <v>33724</v>
      </c>
      <c r="U1258" s="657">
        <v>8303</v>
      </c>
      <c r="V1258" s="655">
        <v>2021</v>
      </c>
      <c r="W1258" s="659"/>
      <c r="X1258" s="660" t="str">
        <f t="shared" si="59"/>
        <v/>
      </c>
      <c r="Y1258" s="661">
        <f t="shared" si="57"/>
        <v>5.4927320060404483</v>
      </c>
      <c r="Z1258" s="661" t="str">
        <f t="shared" si="58"/>
        <v/>
      </c>
    </row>
    <row r="1259" spans="1:26" s="128" customFormat="1" ht="25" hidden="1">
      <c r="A1259" s="655">
        <v>58185</v>
      </c>
      <c r="B1259" s="656" t="s">
        <v>54</v>
      </c>
      <c r="C1259" s="655" t="s">
        <v>2793</v>
      </c>
      <c r="D1259" s="656" t="s">
        <v>1247</v>
      </c>
      <c r="E1259" s="656" t="s">
        <v>1248</v>
      </c>
      <c r="F1259" s="655">
        <v>58152</v>
      </c>
      <c r="G1259" s="656" t="s">
        <v>81</v>
      </c>
      <c r="H1259" s="656" t="s">
        <v>1183</v>
      </c>
      <c r="I1259" s="656" t="s">
        <v>58</v>
      </c>
      <c r="J1259" s="655">
        <v>611</v>
      </c>
      <c r="K1259" s="655">
        <v>5</v>
      </c>
      <c r="L1259" s="656" t="s">
        <v>413</v>
      </c>
      <c r="M1259" s="656" t="s">
        <v>50</v>
      </c>
      <c r="N1259" s="656" t="s">
        <v>61</v>
      </c>
      <c r="O1259" s="656" t="s">
        <v>61</v>
      </c>
      <c r="P1259" s="656" t="s">
        <v>47</v>
      </c>
      <c r="Q1259" s="657">
        <v>0</v>
      </c>
      <c r="R1259" s="657">
        <v>0</v>
      </c>
      <c r="S1259" s="657">
        <v>0</v>
      </c>
      <c r="T1259" s="657">
        <v>0</v>
      </c>
      <c r="U1259" s="657">
        <v>0</v>
      </c>
      <c r="V1259" s="655">
        <v>2021</v>
      </c>
      <c r="W1259" s="659"/>
      <c r="X1259" s="660" t="str">
        <f t="shared" si="59"/>
        <v/>
      </c>
      <c r="Y1259" s="661" t="str">
        <f t="shared" si="57"/>
        <v/>
      </c>
      <c r="Z1259" s="661" t="str">
        <f t="shared" si="58"/>
        <v/>
      </c>
    </row>
    <row r="1260" spans="1:26" s="128" customFormat="1" ht="25" hidden="1">
      <c r="A1260" s="655">
        <v>58185</v>
      </c>
      <c r="B1260" s="656" t="s">
        <v>54</v>
      </c>
      <c r="C1260" s="655" t="s">
        <v>2793</v>
      </c>
      <c r="D1260" s="656" t="s">
        <v>1247</v>
      </c>
      <c r="E1260" s="656" t="s">
        <v>1248</v>
      </c>
      <c r="F1260" s="655">
        <v>58152</v>
      </c>
      <c r="G1260" s="656" t="s">
        <v>81</v>
      </c>
      <c r="H1260" s="656" t="s">
        <v>1183</v>
      </c>
      <c r="I1260" s="656" t="s">
        <v>58</v>
      </c>
      <c r="J1260" s="655">
        <v>611</v>
      </c>
      <c r="K1260" s="655">
        <v>5</v>
      </c>
      <c r="L1260" s="656" t="s">
        <v>413</v>
      </c>
      <c r="M1260" s="656" t="s">
        <v>42</v>
      </c>
      <c r="N1260" s="656" t="s">
        <v>39</v>
      </c>
      <c r="O1260" s="656" t="s">
        <v>39</v>
      </c>
      <c r="P1260" s="656" t="s">
        <v>1037</v>
      </c>
      <c r="Q1260" s="657">
        <v>0</v>
      </c>
      <c r="R1260" s="657">
        <v>0</v>
      </c>
      <c r="S1260" s="657">
        <v>0</v>
      </c>
      <c r="T1260" s="657">
        <v>0</v>
      </c>
      <c r="U1260" s="657">
        <v>0</v>
      </c>
      <c r="V1260" s="655">
        <v>2021</v>
      </c>
      <c r="W1260" s="659"/>
      <c r="X1260" s="660" t="str">
        <f t="shared" si="59"/>
        <v/>
      </c>
      <c r="Y1260" s="661" t="str">
        <f t="shared" si="57"/>
        <v/>
      </c>
      <c r="Z1260" s="661" t="str">
        <f t="shared" si="58"/>
        <v/>
      </c>
    </row>
    <row r="1261" spans="1:26" s="128" customFormat="1" ht="25" hidden="1">
      <c r="A1261" s="655">
        <v>58185</v>
      </c>
      <c r="B1261" s="656" t="s">
        <v>54</v>
      </c>
      <c r="C1261" s="655" t="s">
        <v>2793</v>
      </c>
      <c r="D1261" s="656" t="s">
        <v>1247</v>
      </c>
      <c r="E1261" s="656" t="s">
        <v>1248</v>
      </c>
      <c r="F1261" s="655">
        <v>58152</v>
      </c>
      <c r="G1261" s="656" t="s">
        <v>81</v>
      </c>
      <c r="H1261" s="656" t="s">
        <v>1183</v>
      </c>
      <c r="I1261" s="656" t="s">
        <v>58</v>
      </c>
      <c r="J1261" s="655">
        <v>611</v>
      </c>
      <c r="K1261" s="655">
        <v>5</v>
      </c>
      <c r="L1261" s="656" t="s">
        <v>413</v>
      </c>
      <c r="M1261" s="656" t="s">
        <v>42</v>
      </c>
      <c r="N1261" s="656" t="s">
        <v>61</v>
      </c>
      <c r="O1261" s="656" t="s">
        <v>61</v>
      </c>
      <c r="P1261" s="656" t="s">
        <v>47</v>
      </c>
      <c r="Q1261" s="657">
        <v>0</v>
      </c>
      <c r="R1261" s="657">
        <v>0</v>
      </c>
      <c r="S1261" s="657">
        <v>0</v>
      </c>
      <c r="T1261" s="657">
        <v>0</v>
      </c>
      <c r="U1261" s="657">
        <v>0</v>
      </c>
      <c r="V1261" s="655">
        <v>2021</v>
      </c>
      <c r="W1261" s="659"/>
      <c r="X1261" s="660" t="str">
        <f t="shared" si="59"/>
        <v/>
      </c>
      <c r="Y1261" s="661" t="str">
        <f t="shared" si="57"/>
        <v/>
      </c>
      <c r="Z1261" s="661" t="str">
        <f t="shared" si="58"/>
        <v/>
      </c>
    </row>
    <row r="1262" spans="1:26" s="128" customFormat="1" ht="25" hidden="1">
      <c r="A1262" s="655">
        <v>58186</v>
      </c>
      <c r="B1262" s="656" t="s">
        <v>54</v>
      </c>
      <c r="C1262" s="655" t="s">
        <v>2793</v>
      </c>
      <c r="D1262" s="656" t="s">
        <v>1608</v>
      </c>
      <c r="E1262" s="656" t="s">
        <v>1609</v>
      </c>
      <c r="F1262" s="655">
        <v>58154</v>
      </c>
      <c r="G1262" s="656" t="s">
        <v>57</v>
      </c>
      <c r="H1262" s="656" t="s">
        <v>1182</v>
      </c>
      <c r="I1262" s="656" t="s">
        <v>58</v>
      </c>
      <c r="J1262" s="655">
        <v>611</v>
      </c>
      <c r="K1262" s="655">
        <v>5</v>
      </c>
      <c r="L1262" s="656" t="s">
        <v>413</v>
      </c>
      <c r="M1262" s="656" t="s">
        <v>51</v>
      </c>
      <c r="N1262" s="656" t="s">
        <v>46</v>
      </c>
      <c r="O1262" s="656" t="s">
        <v>46</v>
      </c>
      <c r="P1262" s="656" t="s">
        <v>47</v>
      </c>
      <c r="Q1262" s="657">
        <v>32</v>
      </c>
      <c r="R1262" s="657">
        <v>25</v>
      </c>
      <c r="S1262" s="657">
        <v>194</v>
      </c>
      <c r="T1262" s="657">
        <v>151</v>
      </c>
      <c r="U1262" s="657">
        <v>13.125</v>
      </c>
      <c r="V1262" s="655">
        <v>2021</v>
      </c>
      <c r="W1262" s="659"/>
      <c r="X1262" s="660" t="str">
        <f t="shared" si="59"/>
        <v/>
      </c>
      <c r="Y1262" s="661" t="str">
        <f t="shared" si="57"/>
        <v/>
      </c>
      <c r="Z1262" s="661" t="str">
        <f t="shared" si="58"/>
        <v/>
      </c>
    </row>
    <row r="1263" spans="1:26" s="128" customFormat="1" ht="25" hidden="1">
      <c r="A1263" s="655">
        <v>58186</v>
      </c>
      <c r="B1263" s="656" t="s">
        <v>54</v>
      </c>
      <c r="C1263" s="655" t="s">
        <v>2793</v>
      </c>
      <c r="D1263" s="656" t="s">
        <v>1608</v>
      </c>
      <c r="E1263" s="656" t="s">
        <v>1609</v>
      </c>
      <c r="F1263" s="655">
        <v>58154</v>
      </c>
      <c r="G1263" s="656" t="s">
        <v>57</v>
      </c>
      <c r="H1263" s="656" t="s">
        <v>1182</v>
      </c>
      <c r="I1263" s="656" t="s">
        <v>58</v>
      </c>
      <c r="J1263" s="655">
        <v>611</v>
      </c>
      <c r="K1263" s="655">
        <v>5</v>
      </c>
      <c r="L1263" s="656" t="s">
        <v>413</v>
      </c>
      <c r="M1263" s="656" t="s">
        <v>51</v>
      </c>
      <c r="N1263" s="656" t="s">
        <v>63</v>
      </c>
      <c r="O1263" s="656" t="s">
        <v>64</v>
      </c>
      <c r="P1263" s="656" t="s">
        <v>1037</v>
      </c>
      <c r="Q1263" s="657">
        <v>0</v>
      </c>
      <c r="R1263" s="657">
        <v>0</v>
      </c>
      <c r="S1263" s="657">
        <v>0</v>
      </c>
      <c r="T1263" s="657">
        <v>0</v>
      </c>
      <c r="U1263" s="657">
        <v>0</v>
      </c>
      <c r="V1263" s="655">
        <v>2021</v>
      </c>
      <c r="W1263" s="659"/>
      <c r="X1263" s="660" t="str">
        <f t="shared" si="59"/>
        <v/>
      </c>
      <c r="Y1263" s="661" t="str">
        <f t="shared" si="57"/>
        <v/>
      </c>
      <c r="Z1263" s="661" t="str">
        <f t="shared" si="58"/>
        <v/>
      </c>
    </row>
    <row r="1264" spans="1:26" s="128" customFormat="1" ht="25" hidden="1">
      <c r="A1264" s="655">
        <v>58186</v>
      </c>
      <c r="B1264" s="656" t="s">
        <v>54</v>
      </c>
      <c r="C1264" s="655" t="s">
        <v>2793</v>
      </c>
      <c r="D1264" s="656" t="s">
        <v>1608</v>
      </c>
      <c r="E1264" s="656" t="s">
        <v>1609</v>
      </c>
      <c r="F1264" s="655">
        <v>58154</v>
      </c>
      <c r="G1264" s="656" t="s">
        <v>57</v>
      </c>
      <c r="H1264" s="656" t="s">
        <v>1182</v>
      </c>
      <c r="I1264" s="656" t="s">
        <v>58</v>
      </c>
      <c r="J1264" s="655">
        <v>611</v>
      </c>
      <c r="K1264" s="655">
        <v>5</v>
      </c>
      <c r="L1264" s="656" t="s">
        <v>413</v>
      </c>
      <c r="M1264" s="656" t="s">
        <v>51</v>
      </c>
      <c r="N1264" s="656" t="s">
        <v>39</v>
      </c>
      <c r="O1264" s="656" t="s">
        <v>39</v>
      </c>
      <c r="P1264" s="656" t="s">
        <v>1037</v>
      </c>
      <c r="Q1264" s="657">
        <v>180215</v>
      </c>
      <c r="R1264" s="657">
        <v>146617</v>
      </c>
      <c r="S1264" s="657">
        <v>185620</v>
      </c>
      <c r="T1264" s="657">
        <v>151016</v>
      </c>
      <c r="U1264" s="657">
        <v>12480.875</v>
      </c>
      <c r="V1264" s="655">
        <v>2021</v>
      </c>
      <c r="W1264" s="659"/>
      <c r="X1264" s="660" t="str">
        <f t="shared" si="59"/>
        <v/>
      </c>
      <c r="Y1264" s="661" t="str">
        <f t="shared" si="57"/>
        <v/>
      </c>
      <c r="Z1264" s="661" t="str">
        <f t="shared" si="58"/>
        <v/>
      </c>
    </row>
    <row r="1265" spans="1:26" s="128" customFormat="1" ht="25" hidden="1">
      <c r="A1265" s="655">
        <v>58201</v>
      </c>
      <c r="B1265" s="656" t="s">
        <v>54</v>
      </c>
      <c r="C1265" s="655" t="s">
        <v>2793</v>
      </c>
      <c r="D1265" s="656" t="s">
        <v>1249</v>
      </c>
      <c r="E1265" s="656" t="s">
        <v>2475</v>
      </c>
      <c r="F1265" s="655">
        <v>60791</v>
      </c>
      <c r="G1265" s="656" t="s">
        <v>57</v>
      </c>
      <c r="H1265" s="656" t="s">
        <v>1182</v>
      </c>
      <c r="I1265" s="656" t="s">
        <v>58</v>
      </c>
      <c r="J1265" s="655">
        <v>611</v>
      </c>
      <c r="K1265" s="655">
        <v>5</v>
      </c>
      <c r="L1265" s="656" t="s">
        <v>413</v>
      </c>
      <c r="M1265" s="656" t="s">
        <v>51</v>
      </c>
      <c r="N1265" s="656" t="s">
        <v>39</v>
      </c>
      <c r="O1265" s="656" t="s">
        <v>39</v>
      </c>
      <c r="P1265" s="656" t="s">
        <v>1037</v>
      </c>
      <c r="Q1265" s="657">
        <v>0</v>
      </c>
      <c r="R1265" s="657">
        <v>0</v>
      </c>
      <c r="S1265" s="657">
        <v>0</v>
      </c>
      <c r="T1265" s="657">
        <v>0</v>
      </c>
      <c r="U1265" s="657">
        <v>0</v>
      </c>
      <c r="V1265" s="655">
        <v>2021</v>
      </c>
      <c r="W1265" s="659"/>
      <c r="X1265" s="660" t="str">
        <f t="shared" si="59"/>
        <v/>
      </c>
      <c r="Y1265" s="661" t="str">
        <f t="shared" si="57"/>
        <v/>
      </c>
      <c r="Z1265" s="661" t="str">
        <f t="shared" si="58"/>
        <v/>
      </c>
    </row>
    <row r="1266" spans="1:26" s="128" customFormat="1" ht="25">
      <c r="A1266" s="655">
        <v>58210</v>
      </c>
      <c r="B1266" s="656" t="s">
        <v>33</v>
      </c>
      <c r="C1266" s="655" t="s">
        <v>2793</v>
      </c>
      <c r="D1266" s="656" t="s">
        <v>1250</v>
      </c>
      <c r="E1266" s="656" t="s">
        <v>1184</v>
      </c>
      <c r="F1266" s="655">
        <v>58185</v>
      </c>
      <c r="G1266" s="656" t="s">
        <v>81</v>
      </c>
      <c r="H1266" s="656" t="s">
        <v>1183</v>
      </c>
      <c r="I1266" s="656" t="s">
        <v>58</v>
      </c>
      <c r="J1266" s="655">
        <v>22</v>
      </c>
      <c r="K1266" s="655">
        <v>2</v>
      </c>
      <c r="L1266" s="656" t="s">
        <v>52</v>
      </c>
      <c r="M1266" s="656" t="s">
        <v>448</v>
      </c>
      <c r="N1266" s="656" t="s">
        <v>449</v>
      </c>
      <c r="O1266" s="656" t="s">
        <v>449</v>
      </c>
      <c r="P1266" s="656" t="s">
        <v>1176</v>
      </c>
      <c r="Q1266" s="657">
        <v>0</v>
      </c>
      <c r="R1266" s="657">
        <v>0</v>
      </c>
      <c r="S1266" s="657">
        <v>17554</v>
      </c>
      <c r="T1266" s="657">
        <v>17554</v>
      </c>
      <c r="U1266" s="657">
        <v>1985</v>
      </c>
      <c r="V1266" s="655">
        <v>2021</v>
      </c>
      <c r="W1266" s="659"/>
      <c r="X1266" s="660">
        <f t="shared" si="59"/>
        <v>8.8433249370277078</v>
      </c>
      <c r="Y1266" s="661" t="str">
        <f t="shared" si="57"/>
        <v/>
      </c>
      <c r="Z1266" s="661" t="str">
        <f t="shared" si="58"/>
        <v/>
      </c>
    </row>
    <row r="1267" spans="1:26" s="128" customFormat="1" ht="25" hidden="1">
      <c r="A1267" s="655">
        <v>58214</v>
      </c>
      <c r="B1267" s="656" t="s">
        <v>33</v>
      </c>
      <c r="C1267" s="655" t="s">
        <v>2793</v>
      </c>
      <c r="D1267" s="656" t="s">
        <v>1610</v>
      </c>
      <c r="E1267" s="656" t="s">
        <v>1128</v>
      </c>
      <c r="F1267" s="655">
        <v>56769</v>
      </c>
      <c r="G1267" s="656" t="s">
        <v>131</v>
      </c>
      <c r="H1267" s="656" t="s">
        <v>1183</v>
      </c>
      <c r="I1267" s="656" t="s">
        <v>58</v>
      </c>
      <c r="J1267" s="655">
        <v>22</v>
      </c>
      <c r="K1267" s="655">
        <v>2</v>
      </c>
      <c r="L1267" s="656" t="s">
        <v>52</v>
      </c>
      <c r="M1267" s="656" t="s">
        <v>448</v>
      </c>
      <c r="N1267" s="656" t="s">
        <v>449</v>
      </c>
      <c r="O1267" s="656" t="s">
        <v>449</v>
      </c>
      <c r="P1267" s="656" t="s">
        <v>1176</v>
      </c>
      <c r="Q1267" s="657">
        <v>0</v>
      </c>
      <c r="R1267" s="657">
        <v>0</v>
      </c>
      <c r="S1267" s="657">
        <v>23282</v>
      </c>
      <c r="T1267" s="657">
        <v>23282</v>
      </c>
      <c r="U1267" s="657">
        <v>2633</v>
      </c>
      <c r="V1267" s="655">
        <v>2021</v>
      </c>
      <c r="W1267" s="659"/>
      <c r="X1267" s="660">
        <f t="shared" si="59"/>
        <v>8.8423851120394978</v>
      </c>
      <c r="Y1267" s="661" t="str">
        <f t="shared" si="57"/>
        <v/>
      </c>
      <c r="Z1267" s="661" t="str">
        <f t="shared" si="58"/>
        <v/>
      </c>
    </row>
    <row r="1268" spans="1:26" s="128" customFormat="1" ht="25" hidden="1">
      <c r="A1268" s="655">
        <v>58224</v>
      </c>
      <c r="B1268" s="656" t="s">
        <v>54</v>
      </c>
      <c r="C1268" s="655" t="s">
        <v>2793</v>
      </c>
      <c r="D1268" s="656" t="s">
        <v>1251</v>
      </c>
      <c r="E1268" s="656" t="s">
        <v>1252</v>
      </c>
      <c r="F1268" s="655">
        <v>58188</v>
      </c>
      <c r="G1268" s="656" t="s">
        <v>41</v>
      </c>
      <c r="H1268" s="656" t="s">
        <v>1183</v>
      </c>
      <c r="I1268" s="656" t="s">
        <v>58</v>
      </c>
      <c r="J1268" s="655">
        <v>611</v>
      </c>
      <c r="K1268" s="655">
        <v>5</v>
      </c>
      <c r="L1268" s="656" t="s">
        <v>413</v>
      </c>
      <c r="M1268" s="656" t="s">
        <v>51</v>
      </c>
      <c r="N1268" s="656" t="s">
        <v>46</v>
      </c>
      <c r="O1268" s="656" t="s">
        <v>46</v>
      </c>
      <c r="P1268" s="656" t="s">
        <v>47</v>
      </c>
      <c r="Q1268" s="657">
        <v>0</v>
      </c>
      <c r="R1268" s="657">
        <v>0</v>
      </c>
      <c r="S1268" s="657">
        <v>0</v>
      </c>
      <c r="T1268" s="657">
        <v>0</v>
      </c>
      <c r="U1268" s="657">
        <v>0</v>
      </c>
      <c r="V1268" s="655">
        <v>2021</v>
      </c>
      <c r="W1268" s="659"/>
      <c r="X1268" s="660" t="str">
        <f t="shared" si="59"/>
        <v/>
      </c>
      <c r="Y1268" s="661" t="str">
        <f t="shared" si="57"/>
        <v/>
      </c>
      <c r="Z1268" s="661" t="str">
        <f t="shared" si="58"/>
        <v/>
      </c>
    </row>
    <row r="1269" spans="1:26" s="128" customFormat="1" ht="25" hidden="1">
      <c r="A1269" s="655">
        <v>58224</v>
      </c>
      <c r="B1269" s="656" t="s">
        <v>54</v>
      </c>
      <c r="C1269" s="655" t="s">
        <v>2793</v>
      </c>
      <c r="D1269" s="656" t="s">
        <v>1251</v>
      </c>
      <c r="E1269" s="656" t="s">
        <v>1252</v>
      </c>
      <c r="F1269" s="655">
        <v>58188</v>
      </c>
      <c r="G1269" s="656" t="s">
        <v>41</v>
      </c>
      <c r="H1269" s="656" t="s">
        <v>1183</v>
      </c>
      <c r="I1269" s="656" t="s">
        <v>58</v>
      </c>
      <c r="J1269" s="655">
        <v>611</v>
      </c>
      <c r="K1269" s="655">
        <v>5</v>
      </c>
      <c r="L1269" s="656" t="s">
        <v>413</v>
      </c>
      <c r="M1269" s="656" t="s">
        <v>51</v>
      </c>
      <c r="N1269" s="656" t="s">
        <v>39</v>
      </c>
      <c r="O1269" s="656" t="s">
        <v>39</v>
      </c>
      <c r="P1269" s="656" t="s">
        <v>1037</v>
      </c>
      <c r="Q1269" s="657">
        <v>14837</v>
      </c>
      <c r="R1269" s="657">
        <v>4871</v>
      </c>
      <c r="S1269" s="657">
        <v>16322</v>
      </c>
      <c r="T1269" s="657">
        <v>5358</v>
      </c>
      <c r="U1269" s="657">
        <v>1354.36</v>
      </c>
      <c r="V1269" s="655">
        <v>2021</v>
      </c>
      <c r="W1269" s="659"/>
      <c r="X1269" s="660" t="str">
        <f t="shared" si="59"/>
        <v/>
      </c>
      <c r="Y1269" s="661" t="str">
        <f t="shared" si="57"/>
        <v/>
      </c>
      <c r="Z1269" s="661" t="str">
        <f t="shared" si="58"/>
        <v/>
      </c>
    </row>
    <row r="1270" spans="1:26" s="128" customFormat="1" ht="25" hidden="1">
      <c r="A1270" s="655">
        <v>58237</v>
      </c>
      <c r="B1270" s="656" t="s">
        <v>54</v>
      </c>
      <c r="C1270" s="655" t="s">
        <v>2793</v>
      </c>
      <c r="D1270" s="656" t="s">
        <v>1253</v>
      </c>
      <c r="E1270" s="656" t="s">
        <v>1254</v>
      </c>
      <c r="F1270" s="655">
        <v>58213</v>
      </c>
      <c r="G1270" s="656" t="s">
        <v>41</v>
      </c>
      <c r="H1270" s="656" t="s">
        <v>1183</v>
      </c>
      <c r="I1270" s="656" t="s">
        <v>58</v>
      </c>
      <c r="J1270" s="655">
        <v>611</v>
      </c>
      <c r="K1270" s="655">
        <v>5</v>
      </c>
      <c r="L1270" s="656" t="s">
        <v>413</v>
      </c>
      <c r="M1270" s="656" t="s">
        <v>1255</v>
      </c>
      <c r="N1270" s="656" t="s">
        <v>39</v>
      </c>
      <c r="O1270" s="656" t="s">
        <v>39</v>
      </c>
      <c r="P1270" s="656" t="s">
        <v>1037</v>
      </c>
      <c r="Q1270" s="657">
        <v>81279</v>
      </c>
      <c r="R1270" s="657">
        <v>63770</v>
      </c>
      <c r="S1270" s="657">
        <v>82336</v>
      </c>
      <c r="T1270" s="657">
        <v>64600</v>
      </c>
      <c r="U1270" s="657">
        <v>9257</v>
      </c>
      <c r="V1270" s="655">
        <v>2021</v>
      </c>
      <c r="W1270" s="659"/>
      <c r="X1270" s="660" t="str">
        <f t="shared" si="59"/>
        <v/>
      </c>
      <c r="Y1270" s="661" t="str">
        <f t="shared" si="57"/>
        <v/>
      </c>
      <c r="Z1270" s="661" t="str">
        <f t="shared" si="58"/>
        <v/>
      </c>
    </row>
    <row r="1271" spans="1:26" s="128" customFormat="1" ht="25" hidden="1">
      <c r="A1271" s="655">
        <v>58238</v>
      </c>
      <c r="B1271" s="656" t="s">
        <v>33</v>
      </c>
      <c r="C1271" s="655" t="s">
        <v>2793</v>
      </c>
      <c r="D1271" s="656" t="s">
        <v>1256</v>
      </c>
      <c r="E1271" s="656" t="s">
        <v>2327</v>
      </c>
      <c r="F1271" s="655">
        <v>60025</v>
      </c>
      <c r="G1271" s="656" t="s">
        <v>89</v>
      </c>
      <c r="H1271" s="656" t="s">
        <v>1183</v>
      </c>
      <c r="I1271" s="656" t="s">
        <v>58</v>
      </c>
      <c r="J1271" s="655">
        <v>22</v>
      </c>
      <c r="K1271" s="655">
        <v>2</v>
      </c>
      <c r="L1271" s="656" t="s">
        <v>52</v>
      </c>
      <c r="M1271" s="656" t="s">
        <v>71</v>
      </c>
      <c r="N1271" s="656" t="s">
        <v>72</v>
      </c>
      <c r="O1271" s="656" t="s">
        <v>72</v>
      </c>
      <c r="P1271" s="656" t="s">
        <v>1176</v>
      </c>
      <c r="Q1271" s="657">
        <v>0</v>
      </c>
      <c r="R1271" s="657">
        <v>0</v>
      </c>
      <c r="S1271" s="657">
        <v>186551</v>
      </c>
      <c r="T1271" s="657">
        <v>186551</v>
      </c>
      <c r="U1271" s="657">
        <v>21096</v>
      </c>
      <c r="V1271" s="655">
        <v>2021</v>
      </c>
      <c r="W1271" s="659"/>
      <c r="X1271" s="660">
        <f t="shared" si="59"/>
        <v>8.842956010618126</v>
      </c>
      <c r="Y1271" s="661" t="str">
        <f t="shared" si="57"/>
        <v/>
      </c>
      <c r="Z1271" s="661" t="str">
        <f t="shared" si="58"/>
        <v/>
      </c>
    </row>
    <row r="1272" spans="1:26" s="128" customFormat="1">
      <c r="A1272" s="655">
        <v>58270</v>
      </c>
      <c r="B1272" s="656" t="s">
        <v>33</v>
      </c>
      <c r="C1272" s="655" t="s">
        <v>2793</v>
      </c>
      <c r="D1272" s="656" t="s">
        <v>1257</v>
      </c>
      <c r="E1272" s="656" t="s">
        <v>1920</v>
      </c>
      <c r="F1272" s="655">
        <v>59622</v>
      </c>
      <c r="G1272" s="656" t="s">
        <v>81</v>
      </c>
      <c r="H1272" s="656" t="s">
        <v>1183</v>
      </c>
      <c r="I1272" s="656" t="s">
        <v>58</v>
      </c>
      <c r="J1272" s="655">
        <v>22</v>
      </c>
      <c r="K1272" s="655">
        <v>2</v>
      </c>
      <c r="L1272" s="656" t="s">
        <v>52</v>
      </c>
      <c r="M1272" s="656" t="s">
        <v>448</v>
      </c>
      <c r="N1272" s="656" t="s">
        <v>449</v>
      </c>
      <c r="O1272" s="656" t="s">
        <v>449</v>
      </c>
      <c r="P1272" s="656" t="s">
        <v>1176</v>
      </c>
      <c r="Q1272" s="657">
        <v>0</v>
      </c>
      <c r="R1272" s="657">
        <v>0</v>
      </c>
      <c r="S1272" s="657">
        <v>53456</v>
      </c>
      <c r="T1272" s="657">
        <v>53456</v>
      </c>
      <c r="U1272" s="657">
        <v>6045</v>
      </c>
      <c r="V1272" s="655">
        <v>2021</v>
      </c>
      <c r="W1272" s="659"/>
      <c r="X1272" s="660">
        <f t="shared" si="59"/>
        <v>8.8430107526881727</v>
      </c>
      <c r="Y1272" s="661" t="str">
        <f t="shared" si="57"/>
        <v/>
      </c>
      <c r="Z1272" s="661" t="str">
        <f t="shared" si="58"/>
        <v/>
      </c>
    </row>
    <row r="1273" spans="1:26" s="128" customFormat="1" ht="25">
      <c r="A1273" s="655">
        <v>58271</v>
      </c>
      <c r="B1273" s="656" t="s">
        <v>33</v>
      </c>
      <c r="C1273" s="655" t="s">
        <v>2793</v>
      </c>
      <c r="D1273" s="656" t="s">
        <v>1258</v>
      </c>
      <c r="E1273" s="656" t="s">
        <v>1920</v>
      </c>
      <c r="F1273" s="655">
        <v>59622</v>
      </c>
      <c r="G1273" s="656" t="s">
        <v>81</v>
      </c>
      <c r="H1273" s="656" t="s">
        <v>1183</v>
      </c>
      <c r="I1273" s="656" t="s">
        <v>58</v>
      </c>
      <c r="J1273" s="655">
        <v>22</v>
      </c>
      <c r="K1273" s="655">
        <v>2</v>
      </c>
      <c r="L1273" s="656" t="s">
        <v>52</v>
      </c>
      <c r="M1273" s="656" t="s">
        <v>448</v>
      </c>
      <c r="N1273" s="656" t="s">
        <v>449</v>
      </c>
      <c r="O1273" s="656" t="s">
        <v>449</v>
      </c>
      <c r="P1273" s="656" t="s">
        <v>1176</v>
      </c>
      <c r="Q1273" s="657">
        <v>0</v>
      </c>
      <c r="R1273" s="657">
        <v>0</v>
      </c>
      <c r="S1273" s="657">
        <v>15484</v>
      </c>
      <c r="T1273" s="657">
        <v>15484</v>
      </c>
      <c r="U1273" s="657">
        <v>1751</v>
      </c>
      <c r="V1273" s="655">
        <v>2021</v>
      </c>
      <c r="W1273" s="659"/>
      <c r="X1273" s="660">
        <f t="shared" si="59"/>
        <v>8.842946887492861</v>
      </c>
      <c r="Y1273" s="661" t="str">
        <f t="shared" si="57"/>
        <v/>
      </c>
      <c r="Z1273" s="661" t="str">
        <f t="shared" si="58"/>
        <v/>
      </c>
    </row>
    <row r="1274" spans="1:26" s="128" customFormat="1" ht="25">
      <c r="A1274" s="655">
        <v>58272</v>
      </c>
      <c r="B1274" s="656" t="s">
        <v>33</v>
      </c>
      <c r="C1274" s="655" t="s">
        <v>2793</v>
      </c>
      <c r="D1274" s="656" t="s">
        <v>1259</v>
      </c>
      <c r="E1274" s="656" t="s">
        <v>1920</v>
      </c>
      <c r="F1274" s="655">
        <v>59622</v>
      </c>
      <c r="G1274" s="656" t="s">
        <v>81</v>
      </c>
      <c r="H1274" s="656" t="s">
        <v>1183</v>
      </c>
      <c r="I1274" s="656" t="s">
        <v>58</v>
      </c>
      <c r="J1274" s="655">
        <v>22</v>
      </c>
      <c r="K1274" s="655">
        <v>2</v>
      </c>
      <c r="L1274" s="656" t="s">
        <v>52</v>
      </c>
      <c r="M1274" s="656" t="s">
        <v>448</v>
      </c>
      <c r="N1274" s="656" t="s">
        <v>449</v>
      </c>
      <c r="O1274" s="656" t="s">
        <v>449</v>
      </c>
      <c r="P1274" s="656" t="s">
        <v>1176</v>
      </c>
      <c r="Q1274" s="657">
        <v>0</v>
      </c>
      <c r="R1274" s="657">
        <v>0</v>
      </c>
      <c r="S1274" s="657">
        <v>25105</v>
      </c>
      <c r="T1274" s="657">
        <v>25105</v>
      </c>
      <c r="U1274" s="657">
        <v>2839</v>
      </c>
      <c r="V1274" s="655">
        <v>2021</v>
      </c>
      <c r="W1274" s="659"/>
      <c r="X1274" s="660">
        <f t="shared" si="59"/>
        <v>8.8429024304332504</v>
      </c>
      <c r="Y1274" s="661" t="str">
        <f t="shared" si="57"/>
        <v/>
      </c>
      <c r="Z1274" s="661" t="str">
        <f t="shared" si="58"/>
        <v/>
      </c>
    </row>
    <row r="1275" spans="1:26" s="128" customFormat="1">
      <c r="A1275" s="655">
        <v>58275</v>
      </c>
      <c r="B1275" s="656" t="s">
        <v>33</v>
      </c>
      <c r="C1275" s="655" t="s">
        <v>2793</v>
      </c>
      <c r="D1275" s="656" t="s">
        <v>1697</v>
      </c>
      <c r="E1275" s="656" t="s">
        <v>3120</v>
      </c>
      <c r="F1275" s="655">
        <v>59155</v>
      </c>
      <c r="G1275" s="656" t="s">
        <v>81</v>
      </c>
      <c r="H1275" s="656" t="s">
        <v>1183</v>
      </c>
      <c r="I1275" s="656" t="s">
        <v>58</v>
      </c>
      <c r="J1275" s="655">
        <v>22</v>
      </c>
      <c r="K1275" s="655">
        <v>2</v>
      </c>
      <c r="L1275" s="656" t="s">
        <v>52</v>
      </c>
      <c r="M1275" s="656" t="s">
        <v>448</v>
      </c>
      <c r="N1275" s="656" t="s">
        <v>449</v>
      </c>
      <c r="O1275" s="656" t="s">
        <v>449</v>
      </c>
      <c r="P1275" s="656" t="s">
        <v>1176</v>
      </c>
      <c r="Q1275" s="657">
        <v>0</v>
      </c>
      <c r="R1275" s="657">
        <v>0</v>
      </c>
      <c r="S1275" s="657">
        <v>52635</v>
      </c>
      <c r="T1275" s="657">
        <v>52635</v>
      </c>
      <c r="U1275" s="657">
        <v>5952</v>
      </c>
      <c r="V1275" s="655">
        <v>2021</v>
      </c>
      <c r="W1275" s="659"/>
      <c r="X1275" s="660">
        <f t="shared" si="59"/>
        <v>8.8432459677419359</v>
      </c>
      <c r="Y1275" s="661" t="str">
        <f t="shared" si="57"/>
        <v/>
      </c>
      <c r="Z1275" s="661" t="str">
        <f t="shared" si="58"/>
        <v/>
      </c>
    </row>
    <row r="1276" spans="1:26" s="128" customFormat="1">
      <c r="A1276" s="655">
        <v>58276</v>
      </c>
      <c r="B1276" s="656" t="s">
        <v>33</v>
      </c>
      <c r="C1276" s="655" t="s">
        <v>2793</v>
      </c>
      <c r="D1276" s="656" t="s">
        <v>1698</v>
      </c>
      <c r="E1276" s="656" t="s">
        <v>3120</v>
      </c>
      <c r="F1276" s="655">
        <v>59155</v>
      </c>
      <c r="G1276" s="656" t="s">
        <v>81</v>
      </c>
      <c r="H1276" s="656" t="s">
        <v>1183</v>
      </c>
      <c r="I1276" s="656" t="s">
        <v>58</v>
      </c>
      <c r="J1276" s="655">
        <v>22</v>
      </c>
      <c r="K1276" s="655">
        <v>2</v>
      </c>
      <c r="L1276" s="656" t="s">
        <v>52</v>
      </c>
      <c r="M1276" s="656" t="s">
        <v>448</v>
      </c>
      <c r="N1276" s="656" t="s">
        <v>449</v>
      </c>
      <c r="O1276" s="656" t="s">
        <v>449</v>
      </c>
      <c r="P1276" s="656" t="s">
        <v>1176</v>
      </c>
      <c r="Q1276" s="657">
        <v>0</v>
      </c>
      <c r="R1276" s="657">
        <v>0</v>
      </c>
      <c r="S1276" s="657">
        <v>60832</v>
      </c>
      <c r="T1276" s="657">
        <v>60832</v>
      </c>
      <c r="U1276" s="657">
        <v>6879</v>
      </c>
      <c r="V1276" s="655">
        <v>2021</v>
      </c>
      <c r="W1276" s="659"/>
      <c r="X1276" s="660">
        <f t="shared" si="59"/>
        <v>8.8431458060764641</v>
      </c>
      <c r="Y1276" s="661" t="str">
        <f t="shared" si="57"/>
        <v/>
      </c>
      <c r="Z1276" s="661" t="str">
        <f t="shared" si="58"/>
        <v/>
      </c>
    </row>
    <row r="1277" spans="1:26" s="128" customFormat="1">
      <c r="A1277" s="655">
        <v>58279</v>
      </c>
      <c r="B1277" s="656" t="s">
        <v>33</v>
      </c>
      <c r="C1277" s="655" t="s">
        <v>2793</v>
      </c>
      <c r="D1277" s="656" t="s">
        <v>1699</v>
      </c>
      <c r="E1277" s="656" t="s">
        <v>3120</v>
      </c>
      <c r="F1277" s="655">
        <v>59155</v>
      </c>
      <c r="G1277" s="656" t="s">
        <v>81</v>
      </c>
      <c r="H1277" s="656" t="s">
        <v>1183</v>
      </c>
      <c r="I1277" s="656" t="s">
        <v>58</v>
      </c>
      <c r="J1277" s="655">
        <v>22</v>
      </c>
      <c r="K1277" s="655">
        <v>2</v>
      </c>
      <c r="L1277" s="656" t="s">
        <v>52</v>
      </c>
      <c r="M1277" s="656" t="s">
        <v>448</v>
      </c>
      <c r="N1277" s="656" t="s">
        <v>449</v>
      </c>
      <c r="O1277" s="656" t="s">
        <v>449</v>
      </c>
      <c r="P1277" s="656" t="s">
        <v>1176</v>
      </c>
      <c r="Q1277" s="657">
        <v>0</v>
      </c>
      <c r="R1277" s="657">
        <v>0</v>
      </c>
      <c r="S1277" s="657">
        <v>65279</v>
      </c>
      <c r="T1277" s="657">
        <v>65279</v>
      </c>
      <c r="U1277" s="657">
        <v>7382</v>
      </c>
      <c r="V1277" s="655">
        <v>2021</v>
      </c>
      <c r="W1277" s="659"/>
      <c r="X1277" s="660">
        <f t="shared" si="59"/>
        <v>8.8429964779192627</v>
      </c>
      <c r="Y1277" s="661" t="str">
        <f t="shared" si="57"/>
        <v/>
      </c>
      <c r="Z1277" s="661" t="str">
        <f t="shared" si="58"/>
        <v/>
      </c>
    </row>
    <row r="1278" spans="1:26" s="128" customFormat="1">
      <c r="A1278" s="655">
        <v>58280</v>
      </c>
      <c r="B1278" s="656" t="s">
        <v>33</v>
      </c>
      <c r="C1278" s="655" t="s">
        <v>2793</v>
      </c>
      <c r="D1278" s="656" t="s">
        <v>1700</v>
      </c>
      <c r="E1278" s="656" t="s">
        <v>3120</v>
      </c>
      <c r="F1278" s="655">
        <v>59155</v>
      </c>
      <c r="G1278" s="656" t="s">
        <v>81</v>
      </c>
      <c r="H1278" s="656" t="s">
        <v>1183</v>
      </c>
      <c r="I1278" s="656" t="s">
        <v>58</v>
      </c>
      <c r="J1278" s="655">
        <v>22</v>
      </c>
      <c r="K1278" s="655">
        <v>2</v>
      </c>
      <c r="L1278" s="656" t="s">
        <v>52</v>
      </c>
      <c r="M1278" s="656" t="s">
        <v>448</v>
      </c>
      <c r="N1278" s="656" t="s">
        <v>449</v>
      </c>
      <c r="O1278" s="656" t="s">
        <v>449</v>
      </c>
      <c r="P1278" s="656" t="s">
        <v>1176</v>
      </c>
      <c r="Q1278" s="657">
        <v>0</v>
      </c>
      <c r="R1278" s="657">
        <v>0</v>
      </c>
      <c r="S1278" s="657">
        <v>35957</v>
      </c>
      <c r="T1278" s="657">
        <v>35957</v>
      </c>
      <c r="U1278" s="657">
        <v>4066</v>
      </c>
      <c r="V1278" s="655">
        <v>2021</v>
      </c>
      <c r="W1278" s="659"/>
      <c r="X1278" s="660">
        <f t="shared" si="59"/>
        <v>8.8433349729463853</v>
      </c>
      <c r="Y1278" s="661" t="str">
        <f t="shared" si="57"/>
        <v/>
      </c>
      <c r="Z1278" s="661" t="str">
        <f t="shared" si="58"/>
        <v/>
      </c>
    </row>
    <row r="1279" spans="1:26" s="128" customFormat="1" ht="25">
      <c r="A1279" s="655">
        <v>58282</v>
      </c>
      <c r="B1279" s="656" t="s">
        <v>33</v>
      </c>
      <c r="C1279" s="655" t="s">
        <v>2793</v>
      </c>
      <c r="D1279" s="656" t="s">
        <v>1845</v>
      </c>
      <c r="E1279" s="656" t="s">
        <v>2326</v>
      </c>
      <c r="F1279" s="655">
        <v>62060</v>
      </c>
      <c r="G1279" s="656" t="s">
        <v>81</v>
      </c>
      <c r="H1279" s="656" t="s">
        <v>1183</v>
      </c>
      <c r="I1279" s="656" t="s">
        <v>58</v>
      </c>
      <c r="J1279" s="655">
        <v>22</v>
      </c>
      <c r="K1279" s="655">
        <v>2</v>
      </c>
      <c r="L1279" s="656" t="s">
        <v>52</v>
      </c>
      <c r="M1279" s="656" t="s">
        <v>448</v>
      </c>
      <c r="N1279" s="656" t="s">
        <v>449</v>
      </c>
      <c r="O1279" s="656" t="s">
        <v>449</v>
      </c>
      <c r="P1279" s="656" t="s">
        <v>1176</v>
      </c>
      <c r="Q1279" s="657">
        <v>0</v>
      </c>
      <c r="R1279" s="657">
        <v>0</v>
      </c>
      <c r="S1279" s="657">
        <v>57683</v>
      </c>
      <c r="T1279" s="657">
        <v>57683</v>
      </c>
      <c r="U1279" s="657">
        <v>6523</v>
      </c>
      <c r="V1279" s="655">
        <v>2021</v>
      </c>
      <c r="W1279" s="659"/>
      <c r="X1279" s="660">
        <f t="shared" si="59"/>
        <v>8.8430170167101032</v>
      </c>
      <c r="Y1279" s="661" t="str">
        <f t="shared" si="57"/>
        <v/>
      </c>
      <c r="Z1279" s="661" t="str">
        <f t="shared" si="58"/>
        <v/>
      </c>
    </row>
    <row r="1280" spans="1:26" s="128" customFormat="1">
      <c r="A1280" s="655">
        <v>58283</v>
      </c>
      <c r="B1280" s="656" t="s">
        <v>33</v>
      </c>
      <c r="C1280" s="655" t="s">
        <v>2793</v>
      </c>
      <c r="D1280" s="656" t="s">
        <v>1846</v>
      </c>
      <c r="E1280" s="656" t="s">
        <v>1709</v>
      </c>
      <c r="F1280" s="655">
        <v>58598</v>
      </c>
      <c r="G1280" s="656" t="s">
        <v>81</v>
      </c>
      <c r="H1280" s="656" t="s">
        <v>1183</v>
      </c>
      <c r="I1280" s="656" t="s">
        <v>58</v>
      </c>
      <c r="J1280" s="655">
        <v>22</v>
      </c>
      <c r="K1280" s="655">
        <v>2</v>
      </c>
      <c r="L1280" s="656" t="s">
        <v>52</v>
      </c>
      <c r="M1280" s="656" t="s">
        <v>448</v>
      </c>
      <c r="N1280" s="656" t="s">
        <v>449</v>
      </c>
      <c r="O1280" s="656" t="s">
        <v>449</v>
      </c>
      <c r="P1280" s="656" t="s">
        <v>1176</v>
      </c>
      <c r="Q1280" s="657">
        <v>0</v>
      </c>
      <c r="R1280" s="657">
        <v>0</v>
      </c>
      <c r="S1280" s="657">
        <v>63792</v>
      </c>
      <c r="T1280" s="657">
        <v>63792</v>
      </c>
      <c r="U1280" s="657">
        <v>7214</v>
      </c>
      <c r="V1280" s="655">
        <v>2021</v>
      </c>
      <c r="W1280" s="659"/>
      <c r="X1280" s="660">
        <f t="shared" si="59"/>
        <v>8.8428056556695314</v>
      </c>
      <c r="Y1280" s="661" t="str">
        <f t="shared" si="57"/>
        <v/>
      </c>
      <c r="Z1280" s="661" t="str">
        <f t="shared" si="58"/>
        <v/>
      </c>
    </row>
    <row r="1281" spans="1:26" s="128" customFormat="1" ht="25" hidden="1">
      <c r="A1281" s="655">
        <v>58327</v>
      </c>
      <c r="B1281" s="656" t="s">
        <v>54</v>
      </c>
      <c r="C1281" s="655" t="s">
        <v>2793</v>
      </c>
      <c r="D1281" s="656" t="s">
        <v>1260</v>
      </c>
      <c r="E1281" s="656" t="s">
        <v>1261</v>
      </c>
      <c r="F1281" s="655">
        <v>58300</v>
      </c>
      <c r="G1281" s="656" t="s">
        <v>41</v>
      </c>
      <c r="H1281" s="656" t="s">
        <v>1183</v>
      </c>
      <c r="I1281" s="656" t="s">
        <v>58</v>
      </c>
      <c r="J1281" s="655">
        <v>481</v>
      </c>
      <c r="K1281" s="655">
        <v>5</v>
      </c>
      <c r="L1281" s="656" t="s">
        <v>413</v>
      </c>
      <c r="M1281" s="656" t="s">
        <v>51</v>
      </c>
      <c r="N1281" s="656" t="s">
        <v>39</v>
      </c>
      <c r="O1281" s="656" t="s">
        <v>39</v>
      </c>
      <c r="P1281" s="656" t="s">
        <v>1037</v>
      </c>
      <c r="Q1281" s="657">
        <v>209793</v>
      </c>
      <c r="R1281" s="657">
        <v>102254</v>
      </c>
      <c r="S1281" s="657">
        <v>216086</v>
      </c>
      <c r="T1281" s="657">
        <v>105320</v>
      </c>
      <c r="U1281" s="657">
        <v>13874</v>
      </c>
      <c r="V1281" s="655">
        <v>2021</v>
      </c>
      <c r="W1281" s="659"/>
      <c r="X1281" s="660" t="str">
        <f t="shared" si="59"/>
        <v/>
      </c>
      <c r="Y1281" s="661" t="str">
        <f t="shared" si="57"/>
        <v/>
      </c>
      <c r="Z1281" s="661" t="str">
        <f t="shared" si="58"/>
        <v/>
      </c>
    </row>
    <row r="1282" spans="1:26" s="128" customFormat="1" ht="25">
      <c r="A1282" s="655">
        <v>58362</v>
      </c>
      <c r="B1282" s="656" t="s">
        <v>33</v>
      </c>
      <c r="C1282" s="655" t="s">
        <v>2793</v>
      </c>
      <c r="D1282" s="656" t="s">
        <v>1611</v>
      </c>
      <c r="E1282" s="656" t="s">
        <v>1219</v>
      </c>
      <c r="F1282" s="655">
        <v>57365</v>
      </c>
      <c r="G1282" s="656" t="s">
        <v>81</v>
      </c>
      <c r="H1282" s="656" t="s">
        <v>1183</v>
      </c>
      <c r="I1282" s="656" t="s">
        <v>58</v>
      </c>
      <c r="J1282" s="655">
        <v>22</v>
      </c>
      <c r="K1282" s="655">
        <v>2</v>
      </c>
      <c r="L1282" s="656" t="s">
        <v>52</v>
      </c>
      <c r="M1282" s="656" t="s">
        <v>448</v>
      </c>
      <c r="N1282" s="656" t="s">
        <v>449</v>
      </c>
      <c r="O1282" s="656" t="s">
        <v>449</v>
      </c>
      <c r="P1282" s="656" t="s">
        <v>1176</v>
      </c>
      <c r="Q1282" s="657">
        <v>0</v>
      </c>
      <c r="R1282" s="657">
        <v>0</v>
      </c>
      <c r="S1282" s="657">
        <v>48971</v>
      </c>
      <c r="T1282" s="657">
        <v>48971</v>
      </c>
      <c r="U1282" s="657">
        <v>5538</v>
      </c>
      <c r="V1282" s="655">
        <v>2021</v>
      </c>
      <c r="W1282" s="659"/>
      <c r="X1282" s="660">
        <f t="shared" si="59"/>
        <v>8.842723004694836</v>
      </c>
      <c r="Y1282" s="661" t="str">
        <f t="shared" si="57"/>
        <v/>
      </c>
      <c r="Z1282" s="661" t="str">
        <f t="shared" si="58"/>
        <v/>
      </c>
    </row>
    <row r="1283" spans="1:26" s="128" customFormat="1" ht="25">
      <c r="A1283" s="655">
        <v>58385</v>
      </c>
      <c r="B1283" s="656" t="s">
        <v>33</v>
      </c>
      <c r="C1283" s="655" t="s">
        <v>2793</v>
      </c>
      <c r="D1283" s="656" t="s">
        <v>1612</v>
      </c>
      <c r="E1283" s="656" t="s">
        <v>1128</v>
      </c>
      <c r="F1283" s="655">
        <v>56769</v>
      </c>
      <c r="G1283" s="656" t="s">
        <v>81</v>
      </c>
      <c r="H1283" s="656" t="s">
        <v>1183</v>
      </c>
      <c r="I1283" s="656" t="s">
        <v>58</v>
      </c>
      <c r="J1283" s="655">
        <v>22</v>
      </c>
      <c r="K1283" s="655">
        <v>2</v>
      </c>
      <c r="L1283" s="656" t="s">
        <v>52</v>
      </c>
      <c r="M1283" s="656" t="s">
        <v>448</v>
      </c>
      <c r="N1283" s="656" t="s">
        <v>449</v>
      </c>
      <c r="O1283" s="656" t="s">
        <v>449</v>
      </c>
      <c r="P1283" s="656" t="s">
        <v>1176</v>
      </c>
      <c r="Q1283" s="657">
        <v>0</v>
      </c>
      <c r="R1283" s="657">
        <v>0</v>
      </c>
      <c r="S1283" s="657">
        <v>28989</v>
      </c>
      <c r="T1283" s="657">
        <v>28989</v>
      </c>
      <c r="U1283" s="657">
        <v>3278</v>
      </c>
      <c r="V1283" s="655">
        <v>2021</v>
      </c>
      <c r="W1283" s="659"/>
      <c r="X1283" s="660">
        <f t="shared" si="59"/>
        <v>8.8435021354484444</v>
      </c>
      <c r="Y1283" s="661" t="str">
        <f t="shared" si="57"/>
        <v/>
      </c>
      <c r="Z1283" s="661" t="str">
        <f t="shared" si="58"/>
        <v/>
      </c>
    </row>
    <row r="1284" spans="1:26" s="128" customFormat="1">
      <c r="A1284" s="655">
        <v>58387</v>
      </c>
      <c r="B1284" s="656" t="s">
        <v>33</v>
      </c>
      <c r="C1284" s="655" t="s">
        <v>2793</v>
      </c>
      <c r="D1284" s="656" t="s">
        <v>1701</v>
      </c>
      <c r="E1284" s="656" t="s">
        <v>1921</v>
      </c>
      <c r="F1284" s="655">
        <v>59139</v>
      </c>
      <c r="G1284" s="656" t="s">
        <v>81</v>
      </c>
      <c r="H1284" s="656" t="s">
        <v>1183</v>
      </c>
      <c r="I1284" s="656" t="s">
        <v>58</v>
      </c>
      <c r="J1284" s="655">
        <v>22</v>
      </c>
      <c r="K1284" s="655">
        <v>2</v>
      </c>
      <c r="L1284" s="656" t="s">
        <v>52</v>
      </c>
      <c r="M1284" s="656" t="s">
        <v>448</v>
      </c>
      <c r="N1284" s="656" t="s">
        <v>449</v>
      </c>
      <c r="O1284" s="656" t="s">
        <v>449</v>
      </c>
      <c r="P1284" s="656" t="s">
        <v>1176</v>
      </c>
      <c r="Q1284" s="657">
        <v>0</v>
      </c>
      <c r="R1284" s="657">
        <v>0</v>
      </c>
      <c r="S1284" s="657">
        <v>23628</v>
      </c>
      <c r="T1284" s="657">
        <v>23628</v>
      </c>
      <c r="U1284" s="657">
        <v>2672</v>
      </c>
      <c r="V1284" s="655">
        <v>2021</v>
      </c>
      <c r="W1284" s="659"/>
      <c r="X1284" s="660">
        <f t="shared" si="59"/>
        <v>8.8428143712574858</v>
      </c>
      <c r="Y1284" s="661" t="str">
        <f t="shared" si="57"/>
        <v/>
      </c>
      <c r="Z1284" s="661" t="str">
        <f t="shared" si="58"/>
        <v/>
      </c>
    </row>
    <row r="1285" spans="1:26" s="128" customFormat="1" ht="25" hidden="1">
      <c r="A1285" s="655">
        <v>58399</v>
      </c>
      <c r="B1285" s="656" t="s">
        <v>33</v>
      </c>
      <c r="C1285" s="655" t="s">
        <v>2793</v>
      </c>
      <c r="D1285" s="656" t="s">
        <v>1613</v>
      </c>
      <c r="E1285" s="656" t="s">
        <v>1614</v>
      </c>
      <c r="F1285" s="655">
        <v>58383</v>
      </c>
      <c r="G1285" s="656" t="s">
        <v>57</v>
      </c>
      <c r="H1285" s="656" t="s">
        <v>1182</v>
      </c>
      <c r="I1285" s="656" t="s">
        <v>58</v>
      </c>
      <c r="J1285" s="655">
        <v>562</v>
      </c>
      <c r="K1285" s="655">
        <v>4</v>
      </c>
      <c r="L1285" s="656" t="s">
        <v>412</v>
      </c>
      <c r="M1285" s="656" t="s">
        <v>51</v>
      </c>
      <c r="N1285" s="656" t="s">
        <v>68</v>
      </c>
      <c r="O1285" s="656" t="s">
        <v>49</v>
      </c>
      <c r="P1285" s="656" t="s">
        <v>40</v>
      </c>
      <c r="Q1285" s="657">
        <v>8400</v>
      </c>
      <c r="R1285" s="657">
        <v>8400</v>
      </c>
      <c r="S1285" s="657">
        <v>5041</v>
      </c>
      <c r="T1285" s="657">
        <v>5041</v>
      </c>
      <c r="U1285" s="657">
        <v>342</v>
      </c>
      <c r="V1285" s="655">
        <v>2021</v>
      </c>
      <c r="W1285" s="659"/>
      <c r="X1285" s="660" t="str">
        <f t="shared" si="59"/>
        <v/>
      </c>
      <c r="Y1285" s="661" t="str">
        <f t="shared" si="57"/>
        <v/>
      </c>
      <c r="Z1285" s="661" t="str">
        <f t="shared" si="58"/>
        <v/>
      </c>
    </row>
    <row r="1286" spans="1:26" s="128" customFormat="1">
      <c r="A1286" s="655">
        <v>58403</v>
      </c>
      <c r="B1286" s="656" t="s">
        <v>33</v>
      </c>
      <c r="C1286" s="655" t="s">
        <v>2793</v>
      </c>
      <c r="D1286" s="656" t="s">
        <v>1615</v>
      </c>
      <c r="E1286" s="656" t="s">
        <v>2809</v>
      </c>
      <c r="F1286" s="655">
        <v>63249</v>
      </c>
      <c r="G1286" s="656" t="s">
        <v>81</v>
      </c>
      <c r="H1286" s="656" t="s">
        <v>1183</v>
      </c>
      <c r="I1286" s="656" t="s">
        <v>58</v>
      </c>
      <c r="J1286" s="655">
        <v>22</v>
      </c>
      <c r="K1286" s="655">
        <v>2</v>
      </c>
      <c r="L1286" s="656" t="s">
        <v>52</v>
      </c>
      <c r="M1286" s="656" t="s">
        <v>448</v>
      </c>
      <c r="N1286" s="656" t="s">
        <v>449</v>
      </c>
      <c r="O1286" s="656" t="s">
        <v>449</v>
      </c>
      <c r="P1286" s="656" t="s">
        <v>1176</v>
      </c>
      <c r="Q1286" s="657">
        <v>0</v>
      </c>
      <c r="R1286" s="657">
        <v>0</v>
      </c>
      <c r="S1286" s="657">
        <v>29661</v>
      </c>
      <c r="T1286" s="657">
        <v>29661</v>
      </c>
      <c r="U1286" s="657">
        <v>3354</v>
      </c>
      <c r="V1286" s="655">
        <v>2021</v>
      </c>
      <c r="W1286" s="659"/>
      <c r="X1286" s="660">
        <f t="shared" si="59"/>
        <v>8.8434704830053672</v>
      </c>
      <c r="Y1286" s="661" t="str">
        <f t="shared" si="57"/>
        <v/>
      </c>
      <c r="Z1286" s="661" t="str">
        <f t="shared" si="58"/>
        <v/>
      </c>
    </row>
    <row r="1287" spans="1:26" s="128" customFormat="1">
      <c r="A1287" s="655">
        <v>58410</v>
      </c>
      <c r="B1287" s="656" t="s">
        <v>33</v>
      </c>
      <c r="C1287" s="655" t="s">
        <v>2793</v>
      </c>
      <c r="D1287" s="656" t="s">
        <v>1616</v>
      </c>
      <c r="E1287" s="656" t="s">
        <v>2809</v>
      </c>
      <c r="F1287" s="655">
        <v>63249</v>
      </c>
      <c r="G1287" s="656" t="s">
        <v>81</v>
      </c>
      <c r="H1287" s="656" t="s">
        <v>1183</v>
      </c>
      <c r="I1287" s="656" t="s">
        <v>58</v>
      </c>
      <c r="J1287" s="655">
        <v>22</v>
      </c>
      <c r="K1287" s="655">
        <v>2</v>
      </c>
      <c r="L1287" s="656" t="s">
        <v>52</v>
      </c>
      <c r="M1287" s="656" t="s">
        <v>448</v>
      </c>
      <c r="N1287" s="656" t="s">
        <v>449</v>
      </c>
      <c r="O1287" s="656" t="s">
        <v>449</v>
      </c>
      <c r="P1287" s="656" t="s">
        <v>1176</v>
      </c>
      <c r="Q1287" s="657">
        <v>0</v>
      </c>
      <c r="R1287" s="657">
        <v>0</v>
      </c>
      <c r="S1287" s="657">
        <v>45498</v>
      </c>
      <c r="T1287" s="657">
        <v>45498</v>
      </c>
      <c r="U1287" s="657">
        <v>5145</v>
      </c>
      <c r="V1287" s="655">
        <v>2021</v>
      </c>
      <c r="W1287" s="659"/>
      <c r="X1287" s="660">
        <f t="shared" si="59"/>
        <v>8.8431486880466466</v>
      </c>
      <c r="Y1287" s="661" t="str">
        <f t="shared" ref="Y1287:Y1350" si="60">IF(AND($M1287=$Y$2,$N1287=$Y$3,NOT($Q1287=$R1287),NOT($U1287=0)),IF($K1287=5,$S1287/($U1287+(8/5)*$U1287),IF($K1287=7,$S1287/($U1287+(29/25)*$U1287),"")),"")</f>
        <v/>
      </c>
      <c r="Z1287" s="661" t="str">
        <f t="shared" ref="Z1287:Z1350" si="61">IF(AND($M1287=$Y$2,$N1287=$Y$4,NOT($Q1287=$R1287),NOT($U1287=0)),IF($K1287=5,$S1287/($U1287+(8/5)*$U1287),IF($K1287=7,$S1287/($U1287+(29/25)*$U1287),"")),"")</f>
        <v/>
      </c>
    </row>
    <row r="1288" spans="1:26" s="128" customFormat="1">
      <c r="A1288" s="655">
        <v>58411</v>
      </c>
      <c r="B1288" s="656" t="s">
        <v>33</v>
      </c>
      <c r="C1288" s="655" t="s">
        <v>2793</v>
      </c>
      <c r="D1288" s="656" t="s">
        <v>1617</v>
      </c>
      <c r="E1288" s="656" t="s">
        <v>2809</v>
      </c>
      <c r="F1288" s="655">
        <v>63249</v>
      </c>
      <c r="G1288" s="656" t="s">
        <v>81</v>
      </c>
      <c r="H1288" s="656" t="s">
        <v>1183</v>
      </c>
      <c r="I1288" s="656" t="s">
        <v>58</v>
      </c>
      <c r="J1288" s="655">
        <v>22</v>
      </c>
      <c r="K1288" s="655">
        <v>2</v>
      </c>
      <c r="L1288" s="656" t="s">
        <v>52</v>
      </c>
      <c r="M1288" s="656" t="s">
        <v>448</v>
      </c>
      <c r="N1288" s="656" t="s">
        <v>449</v>
      </c>
      <c r="O1288" s="656" t="s">
        <v>449</v>
      </c>
      <c r="P1288" s="656" t="s">
        <v>1176</v>
      </c>
      <c r="Q1288" s="657">
        <v>0</v>
      </c>
      <c r="R1288" s="657">
        <v>0</v>
      </c>
      <c r="S1288" s="657">
        <v>12229</v>
      </c>
      <c r="T1288" s="657">
        <v>12229</v>
      </c>
      <c r="U1288" s="657">
        <v>1383</v>
      </c>
      <c r="V1288" s="655">
        <v>2021</v>
      </c>
      <c r="W1288" s="659"/>
      <c r="X1288" s="660">
        <f t="shared" ref="X1288:X1351" si="62">IF(OR(K1288&gt;3,T1288=0,NOT(U1288&gt;0)),"",T1288/U1288)</f>
        <v>8.8423716558206795</v>
      </c>
      <c r="Y1288" s="661" t="str">
        <f t="shared" si="60"/>
        <v/>
      </c>
      <c r="Z1288" s="661" t="str">
        <f t="shared" si="61"/>
        <v/>
      </c>
    </row>
    <row r="1289" spans="1:26" s="128" customFormat="1">
      <c r="A1289" s="655">
        <v>58412</v>
      </c>
      <c r="B1289" s="656" t="s">
        <v>33</v>
      </c>
      <c r="C1289" s="655" t="s">
        <v>2793</v>
      </c>
      <c r="D1289" s="656" t="s">
        <v>1702</v>
      </c>
      <c r="E1289" s="656" t="s">
        <v>2809</v>
      </c>
      <c r="F1289" s="655">
        <v>63249</v>
      </c>
      <c r="G1289" s="656" t="s">
        <v>81</v>
      </c>
      <c r="H1289" s="656" t="s">
        <v>1183</v>
      </c>
      <c r="I1289" s="656" t="s">
        <v>58</v>
      </c>
      <c r="J1289" s="655">
        <v>22</v>
      </c>
      <c r="K1289" s="655">
        <v>2</v>
      </c>
      <c r="L1289" s="656" t="s">
        <v>52</v>
      </c>
      <c r="M1289" s="656" t="s">
        <v>448</v>
      </c>
      <c r="N1289" s="656" t="s">
        <v>449</v>
      </c>
      <c r="O1289" s="656" t="s">
        <v>449</v>
      </c>
      <c r="P1289" s="656" t="s">
        <v>1176</v>
      </c>
      <c r="Q1289" s="657">
        <v>0</v>
      </c>
      <c r="R1289" s="657">
        <v>0</v>
      </c>
      <c r="S1289" s="657">
        <v>11628</v>
      </c>
      <c r="T1289" s="657">
        <v>11628</v>
      </c>
      <c r="U1289" s="657">
        <v>1315</v>
      </c>
      <c r="V1289" s="655">
        <v>2021</v>
      </c>
      <c r="W1289" s="659"/>
      <c r="X1289" s="660">
        <f t="shared" si="62"/>
        <v>8.8425855513307976</v>
      </c>
      <c r="Y1289" s="661" t="str">
        <f t="shared" si="60"/>
        <v/>
      </c>
      <c r="Z1289" s="661" t="str">
        <f t="shared" si="61"/>
        <v/>
      </c>
    </row>
    <row r="1290" spans="1:26" s="128" customFormat="1">
      <c r="A1290" s="655">
        <v>58423</v>
      </c>
      <c r="B1290" s="656" t="s">
        <v>33</v>
      </c>
      <c r="C1290" s="655" t="s">
        <v>2793</v>
      </c>
      <c r="D1290" s="656" t="s">
        <v>1703</v>
      </c>
      <c r="E1290" s="656" t="s">
        <v>2809</v>
      </c>
      <c r="F1290" s="655">
        <v>63249</v>
      </c>
      <c r="G1290" s="656" t="s">
        <v>81</v>
      </c>
      <c r="H1290" s="656" t="s">
        <v>1183</v>
      </c>
      <c r="I1290" s="656" t="s">
        <v>58</v>
      </c>
      <c r="J1290" s="655">
        <v>22</v>
      </c>
      <c r="K1290" s="655">
        <v>2</v>
      </c>
      <c r="L1290" s="656" t="s">
        <v>52</v>
      </c>
      <c r="M1290" s="656" t="s">
        <v>448</v>
      </c>
      <c r="N1290" s="656" t="s">
        <v>449</v>
      </c>
      <c r="O1290" s="656" t="s">
        <v>449</v>
      </c>
      <c r="P1290" s="656" t="s">
        <v>1176</v>
      </c>
      <c r="Q1290" s="657">
        <v>0</v>
      </c>
      <c r="R1290" s="657">
        <v>0</v>
      </c>
      <c r="S1290" s="657">
        <v>29598</v>
      </c>
      <c r="T1290" s="657">
        <v>29598</v>
      </c>
      <c r="U1290" s="657">
        <v>3347</v>
      </c>
      <c r="V1290" s="655">
        <v>2021</v>
      </c>
      <c r="W1290" s="659"/>
      <c r="X1290" s="660">
        <f t="shared" si="62"/>
        <v>8.8431431132357332</v>
      </c>
      <c r="Y1290" s="661" t="str">
        <f t="shared" si="60"/>
        <v/>
      </c>
      <c r="Z1290" s="661" t="str">
        <f t="shared" si="61"/>
        <v/>
      </c>
    </row>
    <row r="1291" spans="1:26" s="128" customFormat="1" ht="25" hidden="1">
      <c r="A1291" s="655">
        <v>58507</v>
      </c>
      <c r="B1291" s="656" t="s">
        <v>54</v>
      </c>
      <c r="C1291" s="655" t="s">
        <v>2793</v>
      </c>
      <c r="D1291" s="656" t="s">
        <v>1618</v>
      </c>
      <c r="E1291" s="656" t="s">
        <v>1619</v>
      </c>
      <c r="F1291" s="655">
        <v>58487</v>
      </c>
      <c r="G1291" s="656" t="s">
        <v>57</v>
      </c>
      <c r="H1291" s="656" t="s">
        <v>1182</v>
      </c>
      <c r="I1291" s="656" t="s">
        <v>58</v>
      </c>
      <c r="J1291" s="655">
        <v>622</v>
      </c>
      <c r="K1291" s="655">
        <v>5</v>
      </c>
      <c r="L1291" s="656" t="s">
        <v>413</v>
      </c>
      <c r="M1291" s="656" t="s">
        <v>50</v>
      </c>
      <c r="N1291" s="656" t="s">
        <v>46</v>
      </c>
      <c r="O1291" s="656" t="s">
        <v>46</v>
      </c>
      <c r="P1291" s="656" t="s">
        <v>47</v>
      </c>
      <c r="Q1291" s="657">
        <v>1240</v>
      </c>
      <c r="R1291" s="657">
        <v>997</v>
      </c>
      <c r="S1291" s="657">
        <v>6823</v>
      </c>
      <c r="T1291" s="657">
        <v>5479</v>
      </c>
      <c r="U1291" s="657">
        <v>442.33300000000003</v>
      </c>
      <c r="V1291" s="655">
        <v>2021</v>
      </c>
      <c r="W1291" s="659"/>
      <c r="X1291" s="660" t="str">
        <f t="shared" si="62"/>
        <v/>
      </c>
      <c r="Y1291" s="661" t="str">
        <f t="shared" si="60"/>
        <v/>
      </c>
      <c r="Z1291" s="661">
        <f t="shared" si="61"/>
        <v>5.9327040244132112</v>
      </c>
    </row>
    <row r="1292" spans="1:26" s="128" customFormat="1" ht="25" hidden="1">
      <c r="A1292" s="655">
        <v>58507</v>
      </c>
      <c r="B1292" s="656" t="s">
        <v>54</v>
      </c>
      <c r="C1292" s="655" t="s">
        <v>2793</v>
      </c>
      <c r="D1292" s="656" t="s">
        <v>1618</v>
      </c>
      <c r="E1292" s="656" t="s">
        <v>1619</v>
      </c>
      <c r="F1292" s="655">
        <v>58487</v>
      </c>
      <c r="G1292" s="656" t="s">
        <v>57</v>
      </c>
      <c r="H1292" s="656" t="s">
        <v>1182</v>
      </c>
      <c r="I1292" s="656" t="s">
        <v>58</v>
      </c>
      <c r="J1292" s="655">
        <v>622</v>
      </c>
      <c r="K1292" s="655">
        <v>5</v>
      </c>
      <c r="L1292" s="656" t="s">
        <v>413</v>
      </c>
      <c r="M1292" s="656" t="s">
        <v>50</v>
      </c>
      <c r="N1292" s="656" t="s">
        <v>39</v>
      </c>
      <c r="O1292" s="656" t="s">
        <v>39</v>
      </c>
      <c r="P1292" s="656" t="s">
        <v>1037</v>
      </c>
      <c r="Q1292" s="657">
        <v>444100</v>
      </c>
      <c r="R1292" s="657">
        <v>356728</v>
      </c>
      <c r="S1292" s="657">
        <v>457423</v>
      </c>
      <c r="T1292" s="657">
        <v>367430</v>
      </c>
      <c r="U1292" s="657">
        <v>29667.667000000001</v>
      </c>
      <c r="V1292" s="655">
        <v>2021</v>
      </c>
      <c r="W1292" s="659"/>
      <c r="X1292" s="660" t="str">
        <f t="shared" si="62"/>
        <v/>
      </c>
      <c r="Y1292" s="661">
        <f t="shared" si="60"/>
        <v>5.9300895846283792</v>
      </c>
      <c r="Z1292" s="661" t="str">
        <f t="shared" si="61"/>
        <v/>
      </c>
    </row>
    <row r="1293" spans="1:26" s="128" customFormat="1" ht="25" hidden="1">
      <c r="A1293" s="655">
        <v>58507</v>
      </c>
      <c r="B1293" s="656" t="s">
        <v>54</v>
      </c>
      <c r="C1293" s="655" t="s">
        <v>2793</v>
      </c>
      <c r="D1293" s="656" t="s">
        <v>1618</v>
      </c>
      <c r="E1293" s="656" t="s">
        <v>1619</v>
      </c>
      <c r="F1293" s="655">
        <v>58487</v>
      </c>
      <c r="G1293" s="656" t="s">
        <v>57</v>
      </c>
      <c r="H1293" s="656" t="s">
        <v>1182</v>
      </c>
      <c r="I1293" s="656" t="s">
        <v>58</v>
      </c>
      <c r="J1293" s="655">
        <v>622</v>
      </c>
      <c r="K1293" s="655">
        <v>5</v>
      </c>
      <c r="L1293" s="656" t="s">
        <v>413</v>
      </c>
      <c r="M1293" s="656" t="s">
        <v>51</v>
      </c>
      <c r="N1293" s="656" t="s">
        <v>46</v>
      </c>
      <c r="O1293" s="656" t="s">
        <v>46</v>
      </c>
      <c r="P1293" s="656" t="s">
        <v>47</v>
      </c>
      <c r="Q1293" s="657">
        <v>1348</v>
      </c>
      <c r="R1293" s="657">
        <v>23</v>
      </c>
      <c r="S1293" s="657">
        <v>7419</v>
      </c>
      <c r="T1293" s="657">
        <v>125</v>
      </c>
      <c r="U1293" s="657">
        <v>10.061999999999999</v>
      </c>
      <c r="V1293" s="655">
        <v>2021</v>
      </c>
      <c r="W1293" s="659"/>
      <c r="X1293" s="660" t="str">
        <f t="shared" si="62"/>
        <v/>
      </c>
      <c r="Y1293" s="661" t="str">
        <f t="shared" si="60"/>
        <v/>
      </c>
      <c r="Z1293" s="661" t="str">
        <f t="shared" si="61"/>
        <v/>
      </c>
    </row>
    <row r="1294" spans="1:26" s="128" customFormat="1" ht="25" hidden="1">
      <c r="A1294" s="655">
        <v>58507</v>
      </c>
      <c r="B1294" s="656" t="s">
        <v>54</v>
      </c>
      <c r="C1294" s="655" t="s">
        <v>2793</v>
      </c>
      <c r="D1294" s="656" t="s">
        <v>1618</v>
      </c>
      <c r="E1294" s="656" t="s">
        <v>1619</v>
      </c>
      <c r="F1294" s="655">
        <v>58487</v>
      </c>
      <c r="G1294" s="656" t="s">
        <v>57</v>
      </c>
      <c r="H1294" s="656" t="s">
        <v>1182</v>
      </c>
      <c r="I1294" s="656" t="s">
        <v>58</v>
      </c>
      <c r="J1294" s="655">
        <v>622</v>
      </c>
      <c r="K1294" s="655">
        <v>5</v>
      </c>
      <c r="L1294" s="656" t="s">
        <v>413</v>
      </c>
      <c r="M1294" s="656" t="s">
        <v>51</v>
      </c>
      <c r="N1294" s="656" t="s">
        <v>39</v>
      </c>
      <c r="O1294" s="656" t="s">
        <v>39</v>
      </c>
      <c r="P1294" s="656" t="s">
        <v>1037</v>
      </c>
      <c r="Q1294" s="657">
        <v>137300</v>
      </c>
      <c r="R1294" s="657">
        <v>2310</v>
      </c>
      <c r="S1294" s="657">
        <v>141421</v>
      </c>
      <c r="T1294" s="657">
        <v>2382</v>
      </c>
      <c r="U1294" s="657">
        <v>191.93799999999999</v>
      </c>
      <c r="V1294" s="655">
        <v>2021</v>
      </c>
      <c r="W1294" s="659"/>
      <c r="X1294" s="660" t="str">
        <f t="shared" si="62"/>
        <v/>
      </c>
      <c r="Y1294" s="661" t="str">
        <f t="shared" si="60"/>
        <v/>
      </c>
      <c r="Z1294" s="661" t="str">
        <f t="shared" si="61"/>
        <v/>
      </c>
    </row>
    <row r="1295" spans="1:26" s="128" customFormat="1" ht="25">
      <c r="A1295" s="655">
        <v>58534</v>
      </c>
      <c r="B1295" s="656" t="s">
        <v>33</v>
      </c>
      <c r="C1295" s="655" t="s">
        <v>2793</v>
      </c>
      <c r="D1295" s="656" t="s">
        <v>1394</v>
      </c>
      <c r="E1295" s="656" t="s">
        <v>3372</v>
      </c>
      <c r="F1295" s="655">
        <v>61944</v>
      </c>
      <c r="G1295" s="656" t="s">
        <v>81</v>
      </c>
      <c r="H1295" s="656" t="s">
        <v>1183</v>
      </c>
      <c r="I1295" s="656" t="s">
        <v>58</v>
      </c>
      <c r="J1295" s="655">
        <v>22</v>
      </c>
      <c r="K1295" s="655">
        <v>2</v>
      </c>
      <c r="L1295" s="656" t="s">
        <v>52</v>
      </c>
      <c r="M1295" s="656" t="s">
        <v>448</v>
      </c>
      <c r="N1295" s="656" t="s">
        <v>449</v>
      </c>
      <c r="O1295" s="656" t="s">
        <v>449</v>
      </c>
      <c r="P1295" s="656" t="s">
        <v>1176</v>
      </c>
      <c r="Q1295" s="657">
        <v>0</v>
      </c>
      <c r="R1295" s="657">
        <v>0</v>
      </c>
      <c r="S1295" s="657">
        <v>45047</v>
      </c>
      <c r="T1295" s="657">
        <v>45047</v>
      </c>
      <c r="U1295" s="657">
        <v>5094</v>
      </c>
      <c r="V1295" s="655">
        <v>2021</v>
      </c>
      <c r="W1295" s="659"/>
      <c r="X1295" s="660">
        <f t="shared" si="62"/>
        <v>8.8431488025127596</v>
      </c>
      <c r="Y1295" s="661" t="str">
        <f t="shared" si="60"/>
        <v/>
      </c>
      <c r="Z1295" s="661" t="str">
        <f t="shared" si="61"/>
        <v/>
      </c>
    </row>
    <row r="1296" spans="1:26" s="128" customFormat="1" hidden="1">
      <c r="A1296" s="655">
        <v>58541</v>
      </c>
      <c r="B1296" s="656" t="s">
        <v>33</v>
      </c>
      <c r="C1296" s="655" t="s">
        <v>2793</v>
      </c>
      <c r="D1296" s="656" t="s">
        <v>1620</v>
      </c>
      <c r="E1296" s="656" t="s">
        <v>1620</v>
      </c>
      <c r="F1296" s="655">
        <v>58511</v>
      </c>
      <c r="G1296" s="656" t="s">
        <v>89</v>
      </c>
      <c r="H1296" s="656" t="s">
        <v>1183</v>
      </c>
      <c r="I1296" s="656" t="s">
        <v>58</v>
      </c>
      <c r="J1296" s="655">
        <v>22</v>
      </c>
      <c r="K1296" s="655">
        <v>2</v>
      </c>
      <c r="L1296" s="656" t="s">
        <v>52</v>
      </c>
      <c r="M1296" s="656" t="s">
        <v>448</v>
      </c>
      <c r="N1296" s="656" t="s">
        <v>449</v>
      </c>
      <c r="O1296" s="656" t="s">
        <v>449</v>
      </c>
      <c r="P1296" s="656" t="s">
        <v>1176</v>
      </c>
      <c r="Q1296" s="657">
        <v>0</v>
      </c>
      <c r="R1296" s="657">
        <v>0</v>
      </c>
      <c r="S1296" s="657">
        <v>23238</v>
      </c>
      <c r="T1296" s="657">
        <v>23238</v>
      </c>
      <c r="U1296" s="657">
        <v>2628</v>
      </c>
      <c r="V1296" s="655">
        <v>2021</v>
      </c>
      <c r="W1296" s="659"/>
      <c r="X1296" s="660">
        <f t="shared" si="62"/>
        <v>8.8424657534246567</v>
      </c>
      <c r="Y1296" s="661" t="str">
        <f t="shared" si="60"/>
        <v/>
      </c>
      <c r="Z1296" s="661" t="str">
        <f t="shared" si="61"/>
        <v/>
      </c>
    </row>
    <row r="1297" spans="1:26" s="128" customFormat="1" ht="25" hidden="1">
      <c r="A1297" s="655">
        <v>58550</v>
      </c>
      <c r="B1297" s="656" t="s">
        <v>33</v>
      </c>
      <c r="C1297" s="655" t="s">
        <v>2793</v>
      </c>
      <c r="D1297" s="656" t="s">
        <v>1621</v>
      </c>
      <c r="E1297" s="656" t="s">
        <v>1847</v>
      </c>
      <c r="F1297" s="655">
        <v>58491</v>
      </c>
      <c r="G1297" s="656" t="s">
        <v>57</v>
      </c>
      <c r="H1297" s="656" t="s">
        <v>1182</v>
      </c>
      <c r="I1297" s="656" t="s">
        <v>58</v>
      </c>
      <c r="J1297" s="655">
        <v>22</v>
      </c>
      <c r="K1297" s="655">
        <v>2</v>
      </c>
      <c r="L1297" s="656" t="s">
        <v>52</v>
      </c>
      <c r="M1297" s="656" t="s">
        <v>448</v>
      </c>
      <c r="N1297" s="656" t="s">
        <v>449</v>
      </c>
      <c r="O1297" s="656" t="s">
        <v>449</v>
      </c>
      <c r="P1297" s="656" t="s">
        <v>1176</v>
      </c>
      <c r="Q1297" s="657">
        <v>0</v>
      </c>
      <c r="R1297" s="657">
        <v>0</v>
      </c>
      <c r="S1297" s="657">
        <v>30110</v>
      </c>
      <c r="T1297" s="657">
        <v>30110</v>
      </c>
      <c r="U1297" s="657">
        <v>3405</v>
      </c>
      <c r="V1297" s="655">
        <v>2021</v>
      </c>
      <c r="W1297" s="659"/>
      <c r="X1297" s="660">
        <f t="shared" si="62"/>
        <v>8.8428781204111608</v>
      </c>
      <c r="Y1297" s="661" t="str">
        <f t="shared" si="60"/>
        <v/>
      </c>
      <c r="Z1297" s="661" t="str">
        <f t="shared" si="61"/>
        <v/>
      </c>
    </row>
    <row r="1298" spans="1:26" s="128" customFormat="1" hidden="1">
      <c r="A1298" s="655">
        <v>58551</v>
      </c>
      <c r="B1298" s="656" t="s">
        <v>33</v>
      </c>
      <c r="C1298" s="655" t="s">
        <v>2793</v>
      </c>
      <c r="D1298" s="656" t="s">
        <v>2810</v>
      </c>
      <c r="E1298" s="656" t="s">
        <v>2810</v>
      </c>
      <c r="F1298" s="655">
        <v>63130</v>
      </c>
      <c r="G1298" s="656" t="s">
        <v>41</v>
      </c>
      <c r="H1298" s="656" t="s">
        <v>1183</v>
      </c>
      <c r="I1298" s="656" t="s">
        <v>58</v>
      </c>
      <c r="J1298" s="655">
        <v>22</v>
      </c>
      <c r="K1298" s="655">
        <v>2</v>
      </c>
      <c r="L1298" s="656" t="s">
        <v>52</v>
      </c>
      <c r="M1298" s="656" t="s">
        <v>1255</v>
      </c>
      <c r="N1298" s="656" t="s">
        <v>39</v>
      </c>
      <c r="O1298" s="656" t="s">
        <v>39</v>
      </c>
      <c r="P1298" s="656" t="s">
        <v>1037</v>
      </c>
      <c r="Q1298" s="657">
        <v>869090</v>
      </c>
      <c r="R1298" s="657">
        <v>869090</v>
      </c>
      <c r="S1298" s="657">
        <v>892555</v>
      </c>
      <c r="T1298" s="657">
        <v>892555</v>
      </c>
      <c r="U1298" s="657">
        <v>102775</v>
      </c>
      <c r="V1298" s="655">
        <v>2021</v>
      </c>
      <c r="W1298" s="659"/>
      <c r="X1298" s="660">
        <f t="shared" si="62"/>
        <v>8.6845536365847718</v>
      </c>
      <c r="Y1298" s="661" t="str">
        <f t="shared" si="60"/>
        <v/>
      </c>
      <c r="Z1298" s="661" t="str">
        <f t="shared" si="61"/>
        <v/>
      </c>
    </row>
    <row r="1299" spans="1:26" s="128" customFormat="1" hidden="1">
      <c r="A1299" s="655">
        <v>58554</v>
      </c>
      <c r="B1299" s="656" t="s">
        <v>33</v>
      </c>
      <c r="C1299" s="655" t="s">
        <v>2793</v>
      </c>
      <c r="D1299" s="656" t="s">
        <v>1704</v>
      </c>
      <c r="E1299" s="656" t="s">
        <v>3128</v>
      </c>
      <c r="F1299" s="655">
        <v>60453</v>
      </c>
      <c r="G1299" s="656" t="s">
        <v>41</v>
      </c>
      <c r="H1299" s="656" t="s">
        <v>1183</v>
      </c>
      <c r="I1299" s="656" t="s">
        <v>58</v>
      </c>
      <c r="J1299" s="655">
        <v>22</v>
      </c>
      <c r="K1299" s="655">
        <v>2</v>
      </c>
      <c r="L1299" s="656" t="s">
        <v>52</v>
      </c>
      <c r="M1299" s="656" t="s">
        <v>448</v>
      </c>
      <c r="N1299" s="656" t="s">
        <v>449</v>
      </c>
      <c r="O1299" s="656" t="s">
        <v>449</v>
      </c>
      <c r="P1299" s="656" t="s">
        <v>1176</v>
      </c>
      <c r="Q1299" s="657">
        <v>0</v>
      </c>
      <c r="R1299" s="657">
        <v>0</v>
      </c>
      <c r="S1299" s="657">
        <v>72857</v>
      </c>
      <c r="T1299" s="657">
        <v>72857</v>
      </c>
      <c r="U1299" s="657">
        <v>8239</v>
      </c>
      <c r="V1299" s="655">
        <v>2021</v>
      </c>
      <c r="W1299" s="659"/>
      <c r="X1299" s="660">
        <f t="shared" si="62"/>
        <v>8.8429421046243473</v>
      </c>
      <c r="Y1299" s="661" t="str">
        <f t="shared" si="60"/>
        <v/>
      </c>
      <c r="Z1299" s="661" t="str">
        <f t="shared" si="61"/>
        <v/>
      </c>
    </row>
    <row r="1300" spans="1:26" s="128" customFormat="1" ht="25">
      <c r="A1300" s="655">
        <v>58561</v>
      </c>
      <c r="B1300" s="656" t="s">
        <v>33</v>
      </c>
      <c r="C1300" s="655" t="s">
        <v>2793</v>
      </c>
      <c r="D1300" s="656" t="s">
        <v>1622</v>
      </c>
      <c r="E1300" s="656" t="s">
        <v>1128</v>
      </c>
      <c r="F1300" s="655">
        <v>56769</v>
      </c>
      <c r="G1300" s="656" t="s">
        <v>81</v>
      </c>
      <c r="H1300" s="656" t="s">
        <v>1183</v>
      </c>
      <c r="I1300" s="656" t="s">
        <v>58</v>
      </c>
      <c r="J1300" s="655">
        <v>22</v>
      </c>
      <c r="K1300" s="655">
        <v>2</v>
      </c>
      <c r="L1300" s="656" t="s">
        <v>52</v>
      </c>
      <c r="M1300" s="656" t="s">
        <v>448</v>
      </c>
      <c r="N1300" s="656" t="s">
        <v>449</v>
      </c>
      <c r="O1300" s="656" t="s">
        <v>449</v>
      </c>
      <c r="P1300" s="656" t="s">
        <v>1176</v>
      </c>
      <c r="Q1300" s="657">
        <v>0</v>
      </c>
      <c r="R1300" s="657">
        <v>0</v>
      </c>
      <c r="S1300" s="657">
        <v>19994</v>
      </c>
      <c r="T1300" s="657">
        <v>19994</v>
      </c>
      <c r="U1300" s="657">
        <v>2261</v>
      </c>
      <c r="V1300" s="655">
        <v>2021</v>
      </c>
      <c r="W1300" s="659"/>
      <c r="X1300" s="660">
        <f t="shared" si="62"/>
        <v>8.8429898275099514</v>
      </c>
      <c r="Y1300" s="661" t="str">
        <f t="shared" si="60"/>
        <v/>
      </c>
      <c r="Z1300" s="661" t="str">
        <f t="shared" si="61"/>
        <v/>
      </c>
    </row>
    <row r="1301" spans="1:26" s="128" customFormat="1" ht="25">
      <c r="A1301" s="655">
        <v>58568</v>
      </c>
      <c r="B1301" s="656" t="s">
        <v>33</v>
      </c>
      <c r="C1301" s="655" t="s">
        <v>2793</v>
      </c>
      <c r="D1301" s="656" t="s">
        <v>1705</v>
      </c>
      <c r="E1301" s="656" t="s">
        <v>1146</v>
      </c>
      <c r="F1301" s="655">
        <v>56999</v>
      </c>
      <c r="G1301" s="656" t="s">
        <v>81</v>
      </c>
      <c r="H1301" s="656" t="s">
        <v>1183</v>
      </c>
      <c r="I1301" s="656" t="s">
        <v>58</v>
      </c>
      <c r="J1301" s="655">
        <v>22</v>
      </c>
      <c r="K1301" s="655">
        <v>1</v>
      </c>
      <c r="L1301" s="656" t="s">
        <v>34</v>
      </c>
      <c r="M1301" s="656" t="s">
        <v>448</v>
      </c>
      <c r="N1301" s="656" t="s">
        <v>449</v>
      </c>
      <c r="O1301" s="656" t="s">
        <v>449</v>
      </c>
      <c r="P1301" s="656" t="s">
        <v>1176</v>
      </c>
      <c r="Q1301" s="657">
        <v>0</v>
      </c>
      <c r="R1301" s="657">
        <v>0</v>
      </c>
      <c r="S1301" s="657">
        <v>40386</v>
      </c>
      <c r="T1301" s="657">
        <v>40386</v>
      </c>
      <c r="U1301" s="657">
        <v>4567</v>
      </c>
      <c r="V1301" s="655">
        <v>2021</v>
      </c>
      <c r="W1301" s="659"/>
      <c r="X1301" s="660">
        <f t="shared" si="62"/>
        <v>8.8430041602802714</v>
      </c>
      <c r="Y1301" s="661" t="str">
        <f t="shared" si="60"/>
        <v/>
      </c>
      <c r="Z1301" s="661" t="str">
        <f t="shared" si="61"/>
        <v/>
      </c>
    </row>
    <row r="1302" spans="1:26" s="128" customFormat="1" hidden="1">
      <c r="A1302" s="655">
        <v>58583</v>
      </c>
      <c r="B1302" s="656" t="s">
        <v>33</v>
      </c>
      <c r="C1302" s="655" t="s">
        <v>2793</v>
      </c>
      <c r="D1302" s="656" t="s">
        <v>1623</v>
      </c>
      <c r="E1302" s="656" t="s">
        <v>1624</v>
      </c>
      <c r="F1302" s="655">
        <v>58541</v>
      </c>
      <c r="G1302" s="656" t="s">
        <v>131</v>
      </c>
      <c r="H1302" s="656" t="s">
        <v>1183</v>
      </c>
      <c r="I1302" s="656" t="s">
        <v>58</v>
      </c>
      <c r="J1302" s="655">
        <v>22</v>
      </c>
      <c r="K1302" s="655">
        <v>2</v>
      </c>
      <c r="L1302" s="656" t="s">
        <v>52</v>
      </c>
      <c r="M1302" s="656" t="s">
        <v>448</v>
      </c>
      <c r="N1302" s="656" t="s">
        <v>449</v>
      </c>
      <c r="O1302" s="656" t="s">
        <v>449</v>
      </c>
      <c r="P1302" s="656" t="s">
        <v>1176</v>
      </c>
      <c r="Q1302" s="657">
        <v>0</v>
      </c>
      <c r="R1302" s="657">
        <v>0</v>
      </c>
      <c r="S1302" s="657">
        <v>38147</v>
      </c>
      <c r="T1302" s="657">
        <v>38147</v>
      </c>
      <c r="U1302" s="657">
        <v>4314</v>
      </c>
      <c r="V1302" s="655">
        <v>2021</v>
      </c>
      <c r="W1302" s="659"/>
      <c r="X1302" s="660">
        <f t="shared" si="62"/>
        <v>8.8426054705609651</v>
      </c>
      <c r="Y1302" s="661" t="str">
        <f t="shared" si="60"/>
        <v/>
      </c>
      <c r="Z1302" s="661" t="str">
        <f t="shared" si="61"/>
        <v/>
      </c>
    </row>
    <row r="1303" spans="1:26" s="128" customFormat="1" ht="25">
      <c r="A1303" s="655">
        <v>58586</v>
      </c>
      <c r="B1303" s="656" t="s">
        <v>33</v>
      </c>
      <c r="C1303" s="655" t="s">
        <v>2793</v>
      </c>
      <c r="D1303" s="656" t="s">
        <v>2328</v>
      </c>
      <c r="E1303" s="656" t="s">
        <v>1922</v>
      </c>
      <c r="F1303" s="655">
        <v>60947</v>
      </c>
      <c r="G1303" s="656" t="s">
        <v>81</v>
      </c>
      <c r="H1303" s="656" t="s">
        <v>1183</v>
      </c>
      <c r="I1303" s="656" t="s">
        <v>58</v>
      </c>
      <c r="J1303" s="655">
        <v>22</v>
      </c>
      <c r="K1303" s="655">
        <v>2</v>
      </c>
      <c r="L1303" s="656" t="s">
        <v>52</v>
      </c>
      <c r="M1303" s="656" t="s">
        <v>448</v>
      </c>
      <c r="N1303" s="656" t="s">
        <v>449</v>
      </c>
      <c r="O1303" s="656" t="s">
        <v>449</v>
      </c>
      <c r="P1303" s="656" t="s">
        <v>1176</v>
      </c>
      <c r="Q1303" s="657">
        <v>0</v>
      </c>
      <c r="R1303" s="657">
        <v>0</v>
      </c>
      <c r="S1303" s="657">
        <v>14069</v>
      </c>
      <c r="T1303" s="657">
        <v>14069</v>
      </c>
      <c r="U1303" s="657">
        <v>1591</v>
      </c>
      <c r="V1303" s="655">
        <v>2021</v>
      </c>
      <c r="W1303" s="659"/>
      <c r="X1303" s="660">
        <f t="shared" si="62"/>
        <v>8.8428661219358897</v>
      </c>
      <c r="Y1303" s="661" t="str">
        <f t="shared" si="60"/>
        <v/>
      </c>
      <c r="Z1303" s="661" t="str">
        <f t="shared" si="61"/>
        <v/>
      </c>
    </row>
    <row r="1304" spans="1:26" s="128" customFormat="1" ht="25" hidden="1">
      <c r="A1304" s="655">
        <v>58595</v>
      </c>
      <c r="B1304" s="656" t="s">
        <v>33</v>
      </c>
      <c r="C1304" s="655" t="s">
        <v>2793</v>
      </c>
      <c r="D1304" s="656" t="s">
        <v>1625</v>
      </c>
      <c r="E1304" s="656" t="s">
        <v>1626</v>
      </c>
      <c r="F1304" s="655">
        <v>58550</v>
      </c>
      <c r="G1304" s="656" t="s">
        <v>96</v>
      </c>
      <c r="H1304" s="656" t="s">
        <v>1183</v>
      </c>
      <c r="I1304" s="656" t="s">
        <v>58</v>
      </c>
      <c r="J1304" s="655">
        <v>22</v>
      </c>
      <c r="K1304" s="655">
        <v>2</v>
      </c>
      <c r="L1304" s="656" t="s">
        <v>52</v>
      </c>
      <c r="M1304" s="656" t="s">
        <v>42</v>
      </c>
      <c r="N1304" s="656" t="s">
        <v>69</v>
      </c>
      <c r="O1304" s="656" t="s">
        <v>70</v>
      </c>
      <c r="P1304" s="656" t="s">
        <v>45</v>
      </c>
      <c r="Q1304" s="657">
        <v>0</v>
      </c>
      <c r="R1304" s="657">
        <v>0</v>
      </c>
      <c r="S1304" s="657">
        <v>0</v>
      </c>
      <c r="T1304" s="657">
        <v>0</v>
      </c>
      <c r="U1304" s="657">
        <v>0</v>
      </c>
      <c r="V1304" s="655">
        <v>2021</v>
      </c>
      <c r="W1304" s="659"/>
      <c r="X1304" s="660" t="str">
        <f t="shared" si="62"/>
        <v/>
      </c>
      <c r="Y1304" s="661" t="str">
        <f t="shared" si="60"/>
        <v/>
      </c>
      <c r="Z1304" s="661" t="str">
        <f t="shared" si="61"/>
        <v/>
      </c>
    </row>
    <row r="1305" spans="1:26" s="128" customFormat="1" ht="25" hidden="1">
      <c r="A1305" s="655">
        <v>58608</v>
      </c>
      <c r="B1305" s="656" t="s">
        <v>33</v>
      </c>
      <c r="C1305" s="655" t="s">
        <v>2793</v>
      </c>
      <c r="D1305" s="656" t="s">
        <v>1848</v>
      </c>
      <c r="E1305" s="656" t="s">
        <v>1849</v>
      </c>
      <c r="F1305" s="655">
        <v>58565</v>
      </c>
      <c r="G1305" s="656" t="s">
        <v>90</v>
      </c>
      <c r="H1305" s="656" t="s">
        <v>1183</v>
      </c>
      <c r="I1305" s="656" t="s">
        <v>58</v>
      </c>
      <c r="J1305" s="655">
        <v>22</v>
      </c>
      <c r="K1305" s="655">
        <v>2</v>
      </c>
      <c r="L1305" s="656" t="s">
        <v>52</v>
      </c>
      <c r="M1305" s="656" t="s">
        <v>71</v>
      </c>
      <c r="N1305" s="656" t="s">
        <v>72</v>
      </c>
      <c r="O1305" s="656" t="s">
        <v>72</v>
      </c>
      <c r="P1305" s="656" t="s">
        <v>1176</v>
      </c>
      <c r="Q1305" s="657">
        <v>0</v>
      </c>
      <c r="R1305" s="657">
        <v>0</v>
      </c>
      <c r="S1305" s="657">
        <v>884495</v>
      </c>
      <c r="T1305" s="657">
        <v>884495</v>
      </c>
      <c r="U1305" s="657">
        <v>100022</v>
      </c>
      <c r="V1305" s="655">
        <v>2021</v>
      </c>
      <c r="W1305" s="659"/>
      <c r="X1305" s="660">
        <f t="shared" si="62"/>
        <v>8.84300453900142</v>
      </c>
      <c r="Y1305" s="661" t="str">
        <f t="shared" si="60"/>
        <v/>
      </c>
      <c r="Z1305" s="661" t="str">
        <f t="shared" si="61"/>
        <v/>
      </c>
    </row>
    <row r="1306" spans="1:26" s="128" customFormat="1" hidden="1">
      <c r="A1306" s="655">
        <v>58620</v>
      </c>
      <c r="B1306" s="656" t="s">
        <v>33</v>
      </c>
      <c r="C1306" s="655" t="s">
        <v>2793</v>
      </c>
      <c r="D1306" s="656" t="s">
        <v>2135</v>
      </c>
      <c r="E1306" s="656" t="s">
        <v>2136</v>
      </c>
      <c r="F1306" s="655">
        <v>58574</v>
      </c>
      <c r="G1306" s="656" t="s">
        <v>90</v>
      </c>
      <c r="H1306" s="656" t="s">
        <v>1183</v>
      </c>
      <c r="I1306" s="656" t="s">
        <v>58</v>
      </c>
      <c r="J1306" s="655">
        <v>22</v>
      </c>
      <c r="K1306" s="655">
        <v>2</v>
      </c>
      <c r="L1306" s="656" t="s">
        <v>52</v>
      </c>
      <c r="M1306" s="656" t="s">
        <v>71</v>
      </c>
      <c r="N1306" s="656" t="s">
        <v>72</v>
      </c>
      <c r="O1306" s="656" t="s">
        <v>72</v>
      </c>
      <c r="P1306" s="656" t="s">
        <v>1176</v>
      </c>
      <c r="Q1306" s="657">
        <v>0</v>
      </c>
      <c r="R1306" s="657">
        <v>0</v>
      </c>
      <c r="S1306" s="657">
        <v>515388</v>
      </c>
      <c r="T1306" s="657">
        <v>515388</v>
      </c>
      <c r="U1306" s="657">
        <v>58282</v>
      </c>
      <c r="V1306" s="655">
        <v>2021</v>
      </c>
      <c r="W1306" s="659"/>
      <c r="X1306" s="660">
        <f t="shared" si="62"/>
        <v>8.8430047012799839</v>
      </c>
      <c r="Y1306" s="661" t="str">
        <f t="shared" si="60"/>
        <v/>
      </c>
      <c r="Z1306" s="661" t="str">
        <f t="shared" si="61"/>
        <v/>
      </c>
    </row>
    <row r="1307" spans="1:26" s="128" customFormat="1">
      <c r="A1307" s="655">
        <v>58624</v>
      </c>
      <c r="B1307" s="656" t="s">
        <v>33</v>
      </c>
      <c r="C1307" s="655" t="s">
        <v>2793</v>
      </c>
      <c r="D1307" s="656" t="s">
        <v>1706</v>
      </c>
      <c r="E1307" s="656" t="s">
        <v>1707</v>
      </c>
      <c r="F1307" s="655">
        <v>58578</v>
      </c>
      <c r="G1307" s="656" t="s">
        <v>81</v>
      </c>
      <c r="H1307" s="656" t="s">
        <v>1183</v>
      </c>
      <c r="I1307" s="656" t="s">
        <v>58</v>
      </c>
      <c r="J1307" s="655">
        <v>22</v>
      </c>
      <c r="K1307" s="655">
        <v>2</v>
      </c>
      <c r="L1307" s="656" t="s">
        <v>52</v>
      </c>
      <c r="M1307" s="656" t="s">
        <v>448</v>
      </c>
      <c r="N1307" s="656" t="s">
        <v>449</v>
      </c>
      <c r="O1307" s="656" t="s">
        <v>449</v>
      </c>
      <c r="P1307" s="656" t="s">
        <v>1176</v>
      </c>
      <c r="Q1307" s="657">
        <v>0</v>
      </c>
      <c r="R1307" s="657">
        <v>0</v>
      </c>
      <c r="S1307" s="657">
        <v>20649</v>
      </c>
      <c r="T1307" s="657">
        <v>20649</v>
      </c>
      <c r="U1307" s="657">
        <v>2335</v>
      </c>
      <c r="V1307" s="655">
        <v>2021</v>
      </c>
      <c r="W1307" s="659"/>
      <c r="X1307" s="660">
        <f t="shared" si="62"/>
        <v>8.8432548179871517</v>
      </c>
      <c r="Y1307" s="661" t="str">
        <f t="shared" si="60"/>
        <v/>
      </c>
      <c r="Z1307" s="661" t="str">
        <f t="shared" si="61"/>
        <v/>
      </c>
    </row>
    <row r="1308" spans="1:26" s="128" customFormat="1" ht="25" hidden="1">
      <c r="A1308" s="655">
        <v>58647</v>
      </c>
      <c r="B1308" s="656" t="s">
        <v>33</v>
      </c>
      <c r="C1308" s="655" t="s">
        <v>2793</v>
      </c>
      <c r="D1308" s="656" t="s">
        <v>1850</v>
      </c>
      <c r="E1308" s="656" t="s">
        <v>1219</v>
      </c>
      <c r="F1308" s="655">
        <v>57365</v>
      </c>
      <c r="G1308" s="656" t="s">
        <v>57</v>
      </c>
      <c r="H1308" s="656" t="s">
        <v>1182</v>
      </c>
      <c r="I1308" s="656" t="s">
        <v>58</v>
      </c>
      <c r="J1308" s="655">
        <v>22</v>
      </c>
      <c r="K1308" s="655">
        <v>2</v>
      </c>
      <c r="L1308" s="656" t="s">
        <v>52</v>
      </c>
      <c r="M1308" s="656" t="s">
        <v>448</v>
      </c>
      <c r="N1308" s="656" t="s">
        <v>449</v>
      </c>
      <c r="O1308" s="656" t="s">
        <v>449</v>
      </c>
      <c r="P1308" s="656" t="s">
        <v>1176</v>
      </c>
      <c r="Q1308" s="657">
        <v>0</v>
      </c>
      <c r="R1308" s="657">
        <v>0</v>
      </c>
      <c r="S1308" s="657">
        <v>13875</v>
      </c>
      <c r="T1308" s="657">
        <v>13875</v>
      </c>
      <c r="U1308" s="657">
        <v>1569</v>
      </c>
      <c r="V1308" s="655">
        <v>2021</v>
      </c>
      <c r="W1308" s="659"/>
      <c r="X1308" s="660">
        <f t="shared" si="62"/>
        <v>8.8432122370936899</v>
      </c>
      <c r="Y1308" s="661" t="str">
        <f t="shared" si="60"/>
        <v/>
      </c>
      <c r="Z1308" s="661" t="str">
        <f t="shared" si="61"/>
        <v/>
      </c>
    </row>
    <row r="1309" spans="1:26" s="128" customFormat="1">
      <c r="A1309" s="655">
        <v>58650</v>
      </c>
      <c r="B1309" s="656" t="s">
        <v>33</v>
      </c>
      <c r="C1309" s="655" t="s">
        <v>2793</v>
      </c>
      <c r="D1309" s="656" t="s">
        <v>1708</v>
      </c>
      <c r="E1309" s="656" t="s">
        <v>1709</v>
      </c>
      <c r="F1309" s="655">
        <v>58598</v>
      </c>
      <c r="G1309" s="656" t="s">
        <v>81</v>
      </c>
      <c r="H1309" s="656" t="s">
        <v>1183</v>
      </c>
      <c r="I1309" s="656" t="s">
        <v>58</v>
      </c>
      <c r="J1309" s="655">
        <v>22</v>
      </c>
      <c r="K1309" s="655">
        <v>2</v>
      </c>
      <c r="L1309" s="656" t="s">
        <v>52</v>
      </c>
      <c r="M1309" s="656" t="s">
        <v>448</v>
      </c>
      <c r="N1309" s="656" t="s">
        <v>449</v>
      </c>
      <c r="O1309" s="656" t="s">
        <v>449</v>
      </c>
      <c r="P1309" s="656" t="s">
        <v>1176</v>
      </c>
      <c r="Q1309" s="657">
        <v>0</v>
      </c>
      <c r="R1309" s="657">
        <v>0</v>
      </c>
      <c r="S1309" s="657">
        <v>36981</v>
      </c>
      <c r="T1309" s="657">
        <v>36981</v>
      </c>
      <c r="U1309" s="657">
        <v>4182</v>
      </c>
      <c r="V1309" s="655">
        <v>2021</v>
      </c>
      <c r="W1309" s="659"/>
      <c r="X1309" s="660">
        <f t="shared" si="62"/>
        <v>8.8428981348637024</v>
      </c>
      <c r="Y1309" s="661" t="str">
        <f t="shared" si="60"/>
        <v/>
      </c>
      <c r="Z1309" s="661" t="str">
        <f t="shared" si="61"/>
        <v/>
      </c>
    </row>
    <row r="1310" spans="1:26" s="128" customFormat="1" ht="25" hidden="1">
      <c r="A1310" s="655">
        <v>58661</v>
      </c>
      <c r="B1310" s="656" t="s">
        <v>33</v>
      </c>
      <c r="C1310" s="655" t="s">
        <v>2793</v>
      </c>
      <c r="D1310" s="656" t="s">
        <v>1710</v>
      </c>
      <c r="E1310" s="656" t="s">
        <v>1711</v>
      </c>
      <c r="F1310" s="655">
        <v>58604</v>
      </c>
      <c r="G1310" s="656" t="s">
        <v>81</v>
      </c>
      <c r="H1310" s="656" t="s">
        <v>1183</v>
      </c>
      <c r="I1310" s="656" t="s">
        <v>58</v>
      </c>
      <c r="J1310" s="655">
        <v>928</v>
      </c>
      <c r="K1310" s="655">
        <v>4</v>
      </c>
      <c r="L1310" s="656" t="s">
        <v>412</v>
      </c>
      <c r="M1310" s="656" t="s">
        <v>71</v>
      </c>
      <c r="N1310" s="656" t="s">
        <v>72</v>
      </c>
      <c r="O1310" s="656" t="s">
        <v>72</v>
      </c>
      <c r="P1310" s="656" t="s">
        <v>1176</v>
      </c>
      <c r="Q1310" s="657">
        <v>0</v>
      </c>
      <c r="R1310" s="657">
        <v>0</v>
      </c>
      <c r="S1310" s="657">
        <v>70639</v>
      </c>
      <c r="T1310" s="657">
        <v>70639</v>
      </c>
      <c r="U1310" s="657">
        <v>7988</v>
      </c>
      <c r="V1310" s="655">
        <v>2021</v>
      </c>
      <c r="W1310" s="659"/>
      <c r="X1310" s="660" t="str">
        <f t="shared" si="62"/>
        <v/>
      </c>
      <c r="Y1310" s="661" t="str">
        <f t="shared" si="60"/>
        <v/>
      </c>
      <c r="Z1310" s="661" t="str">
        <f t="shared" si="61"/>
        <v/>
      </c>
    </row>
    <row r="1311" spans="1:26" s="128" customFormat="1" ht="25" hidden="1">
      <c r="A1311" s="655">
        <v>58664</v>
      </c>
      <c r="B1311" s="656" t="s">
        <v>33</v>
      </c>
      <c r="C1311" s="655" t="s">
        <v>2793</v>
      </c>
      <c r="D1311" s="656" t="s">
        <v>1627</v>
      </c>
      <c r="E1311" s="656" t="s">
        <v>1628</v>
      </c>
      <c r="F1311" s="655">
        <v>58607</v>
      </c>
      <c r="G1311" s="656" t="s">
        <v>41</v>
      </c>
      <c r="H1311" s="656" t="s">
        <v>1183</v>
      </c>
      <c r="I1311" s="656" t="s">
        <v>58</v>
      </c>
      <c r="J1311" s="655">
        <v>311</v>
      </c>
      <c r="K1311" s="655">
        <v>6</v>
      </c>
      <c r="L1311" s="656" t="s">
        <v>410</v>
      </c>
      <c r="M1311" s="656" t="s">
        <v>50</v>
      </c>
      <c r="N1311" s="656" t="s">
        <v>39</v>
      </c>
      <c r="O1311" s="656" t="s">
        <v>39</v>
      </c>
      <c r="P1311" s="656" t="s">
        <v>1037</v>
      </c>
      <c r="Q1311" s="657">
        <v>380680</v>
      </c>
      <c r="R1311" s="657">
        <v>380680</v>
      </c>
      <c r="S1311" s="657">
        <v>389435</v>
      </c>
      <c r="T1311" s="657">
        <v>389435</v>
      </c>
      <c r="U1311" s="657">
        <v>24714.62</v>
      </c>
      <c r="V1311" s="655">
        <v>2021</v>
      </c>
      <c r="W1311" s="659"/>
      <c r="X1311" s="660" t="str">
        <f t="shared" si="62"/>
        <v/>
      </c>
      <c r="Y1311" s="661" t="str">
        <f t="shared" si="60"/>
        <v/>
      </c>
      <c r="Z1311" s="661" t="str">
        <f t="shared" si="61"/>
        <v/>
      </c>
    </row>
    <row r="1312" spans="1:26" s="128" customFormat="1" ht="25" hidden="1">
      <c r="A1312" s="655">
        <v>58678</v>
      </c>
      <c r="B1312" s="656" t="s">
        <v>33</v>
      </c>
      <c r="C1312" s="655" t="s">
        <v>2793</v>
      </c>
      <c r="D1312" s="656" t="s">
        <v>1629</v>
      </c>
      <c r="E1312" s="656" t="s">
        <v>119</v>
      </c>
      <c r="F1312" s="655">
        <v>5914</v>
      </c>
      <c r="G1312" s="656" t="s">
        <v>57</v>
      </c>
      <c r="H1312" s="656" t="s">
        <v>1182</v>
      </c>
      <c r="I1312" s="656" t="s">
        <v>58</v>
      </c>
      <c r="J1312" s="655">
        <v>22</v>
      </c>
      <c r="K1312" s="655">
        <v>2</v>
      </c>
      <c r="L1312" s="656" t="s">
        <v>52</v>
      </c>
      <c r="M1312" s="656" t="s">
        <v>35</v>
      </c>
      <c r="N1312" s="656" t="s">
        <v>36</v>
      </c>
      <c r="O1312" s="656" t="s">
        <v>37</v>
      </c>
      <c r="P1312" s="656" t="s">
        <v>1176</v>
      </c>
      <c r="Q1312" s="657">
        <v>0</v>
      </c>
      <c r="R1312" s="657">
        <v>0</v>
      </c>
      <c r="S1312" s="657">
        <v>57187</v>
      </c>
      <c r="T1312" s="657">
        <v>57187</v>
      </c>
      <c r="U1312" s="657">
        <v>6467</v>
      </c>
      <c r="V1312" s="655">
        <v>2021</v>
      </c>
      <c r="W1312" s="659"/>
      <c r="X1312" s="660">
        <f t="shared" si="62"/>
        <v>8.842894696149683</v>
      </c>
      <c r="Y1312" s="661" t="str">
        <f t="shared" si="60"/>
        <v/>
      </c>
      <c r="Z1312" s="661" t="str">
        <f t="shared" si="61"/>
        <v/>
      </c>
    </row>
    <row r="1313" spans="1:26" s="128" customFormat="1" ht="25" hidden="1">
      <c r="A1313" s="655">
        <v>58679</v>
      </c>
      <c r="B1313" s="656" t="s">
        <v>33</v>
      </c>
      <c r="C1313" s="655" t="s">
        <v>2793</v>
      </c>
      <c r="D1313" s="656" t="s">
        <v>1630</v>
      </c>
      <c r="E1313" s="656" t="s">
        <v>119</v>
      </c>
      <c r="F1313" s="655">
        <v>5914</v>
      </c>
      <c r="G1313" s="656" t="s">
        <v>57</v>
      </c>
      <c r="H1313" s="656" t="s">
        <v>1182</v>
      </c>
      <c r="I1313" s="656" t="s">
        <v>58</v>
      </c>
      <c r="J1313" s="655">
        <v>22</v>
      </c>
      <c r="K1313" s="655">
        <v>2</v>
      </c>
      <c r="L1313" s="656" t="s">
        <v>52</v>
      </c>
      <c r="M1313" s="656" t="s">
        <v>35</v>
      </c>
      <c r="N1313" s="656" t="s">
        <v>36</v>
      </c>
      <c r="O1313" s="656" t="s">
        <v>37</v>
      </c>
      <c r="P1313" s="656" t="s">
        <v>1176</v>
      </c>
      <c r="Q1313" s="657">
        <v>0</v>
      </c>
      <c r="R1313" s="657">
        <v>0</v>
      </c>
      <c r="S1313" s="657">
        <v>41447</v>
      </c>
      <c r="T1313" s="657">
        <v>41447</v>
      </c>
      <c r="U1313" s="657">
        <v>4687</v>
      </c>
      <c r="V1313" s="655">
        <v>2021</v>
      </c>
      <c r="W1313" s="659"/>
      <c r="X1313" s="660">
        <f t="shared" si="62"/>
        <v>8.8429699167911249</v>
      </c>
      <c r="Y1313" s="661" t="str">
        <f t="shared" si="60"/>
        <v/>
      </c>
      <c r="Z1313" s="661" t="str">
        <f t="shared" si="61"/>
        <v/>
      </c>
    </row>
    <row r="1314" spans="1:26" s="128" customFormat="1">
      <c r="A1314" s="655">
        <v>58680</v>
      </c>
      <c r="B1314" s="656" t="s">
        <v>33</v>
      </c>
      <c r="C1314" s="655" t="s">
        <v>2793</v>
      </c>
      <c r="D1314" s="656" t="s">
        <v>1851</v>
      </c>
      <c r="E1314" s="656" t="s">
        <v>1709</v>
      </c>
      <c r="F1314" s="655">
        <v>58598</v>
      </c>
      <c r="G1314" s="656" t="s">
        <v>81</v>
      </c>
      <c r="H1314" s="656" t="s">
        <v>1183</v>
      </c>
      <c r="I1314" s="656" t="s">
        <v>58</v>
      </c>
      <c r="J1314" s="655">
        <v>22</v>
      </c>
      <c r="K1314" s="655">
        <v>2</v>
      </c>
      <c r="L1314" s="656" t="s">
        <v>52</v>
      </c>
      <c r="M1314" s="656" t="s">
        <v>448</v>
      </c>
      <c r="N1314" s="656" t="s">
        <v>449</v>
      </c>
      <c r="O1314" s="656" t="s">
        <v>449</v>
      </c>
      <c r="P1314" s="656" t="s">
        <v>1176</v>
      </c>
      <c r="Q1314" s="657">
        <v>0</v>
      </c>
      <c r="R1314" s="657">
        <v>0</v>
      </c>
      <c r="S1314" s="657">
        <v>38661</v>
      </c>
      <c r="T1314" s="657">
        <v>38661</v>
      </c>
      <c r="U1314" s="657">
        <v>4372</v>
      </c>
      <c r="V1314" s="655">
        <v>2021</v>
      </c>
      <c r="W1314" s="659"/>
      <c r="X1314" s="660">
        <f t="shared" si="62"/>
        <v>8.8428636779505947</v>
      </c>
      <c r="Y1314" s="661" t="str">
        <f t="shared" si="60"/>
        <v/>
      </c>
      <c r="Z1314" s="661" t="str">
        <f t="shared" si="61"/>
        <v/>
      </c>
    </row>
    <row r="1315" spans="1:26" s="128" customFormat="1">
      <c r="A1315" s="655">
        <v>58682</v>
      </c>
      <c r="B1315" s="656" t="s">
        <v>33</v>
      </c>
      <c r="C1315" s="655" t="s">
        <v>2793</v>
      </c>
      <c r="D1315" s="656" t="s">
        <v>1712</v>
      </c>
      <c r="E1315" s="656" t="s">
        <v>1709</v>
      </c>
      <c r="F1315" s="655">
        <v>58598</v>
      </c>
      <c r="G1315" s="656" t="s">
        <v>81</v>
      </c>
      <c r="H1315" s="656" t="s">
        <v>1183</v>
      </c>
      <c r="I1315" s="656" t="s">
        <v>58</v>
      </c>
      <c r="J1315" s="655">
        <v>22</v>
      </c>
      <c r="K1315" s="655">
        <v>2</v>
      </c>
      <c r="L1315" s="656" t="s">
        <v>52</v>
      </c>
      <c r="M1315" s="656" t="s">
        <v>448</v>
      </c>
      <c r="N1315" s="656" t="s">
        <v>449</v>
      </c>
      <c r="O1315" s="656" t="s">
        <v>449</v>
      </c>
      <c r="P1315" s="656" t="s">
        <v>1176</v>
      </c>
      <c r="Q1315" s="657">
        <v>0</v>
      </c>
      <c r="R1315" s="657">
        <v>0</v>
      </c>
      <c r="S1315" s="657">
        <v>81514</v>
      </c>
      <c r="T1315" s="657">
        <v>81514</v>
      </c>
      <c r="U1315" s="657">
        <v>9218</v>
      </c>
      <c r="V1315" s="655">
        <v>2021</v>
      </c>
      <c r="W1315" s="659"/>
      <c r="X1315" s="660">
        <f t="shared" si="62"/>
        <v>8.8429160338468211</v>
      </c>
      <c r="Y1315" s="661" t="str">
        <f t="shared" si="60"/>
        <v/>
      </c>
      <c r="Z1315" s="661" t="str">
        <f t="shared" si="61"/>
        <v/>
      </c>
    </row>
    <row r="1316" spans="1:26" s="128" customFormat="1" hidden="1">
      <c r="A1316" s="655">
        <v>58686</v>
      </c>
      <c r="B1316" s="656" t="s">
        <v>33</v>
      </c>
      <c r="C1316" s="655" t="s">
        <v>2793</v>
      </c>
      <c r="D1316" s="656" t="s">
        <v>1923</v>
      </c>
      <c r="E1316" s="656" t="s">
        <v>3128</v>
      </c>
      <c r="F1316" s="655">
        <v>60453</v>
      </c>
      <c r="G1316" s="656" t="s">
        <v>90</v>
      </c>
      <c r="H1316" s="656" t="s">
        <v>1183</v>
      </c>
      <c r="I1316" s="656" t="s">
        <v>58</v>
      </c>
      <c r="J1316" s="655">
        <v>22</v>
      </c>
      <c r="K1316" s="655">
        <v>2</v>
      </c>
      <c r="L1316" s="656" t="s">
        <v>52</v>
      </c>
      <c r="M1316" s="656" t="s">
        <v>71</v>
      </c>
      <c r="N1316" s="656" t="s">
        <v>72</v>
      </c>
      <c r="O1316" s="656" t="s">
        <v>72</v>
      </c>
      <c r="P1316" s="656" t="s">
        <v>1176</v>
      </c>
      <c r="Q1316" s="657">
        <v>0</v>
      </c>
      <c r="R1316" s="657">
        <v>0</v>
      </c>
      <c r="S1316" s="657">
        <v>1075034</v>
      </c>
      <c r="T1316" s="657">
        <v>1075034</v>
      </c>
      <c r="U1316" s="657">
        <v>121569</v>
      </c>
      <c r="V1316" s="655">
        <v>2021</v>
      </c>
      <c r="W1316" s="659"/>
      <c r="X1316" s="660">
        <f t="shared" si="62"/>
        <v>8.8429945134039105</v>
      </c>
      <c r="Y1316" s="661" t="str">
        <f t="shared" si="60"/>
        <v/>
      </c>
      <c r="Z1316" s="661" t="str">
        <f t="shared" si="61"/>
        <v/>
      </c>
    </row>
    <row r="1317" spans="1:26" s="128" customFormat="1">
      <c r="A1317" s="655">
        <v>58702</v>
      </c>
      <c r="B1317" s="656" t="s">
        <v>33</v>
      </c>
      <c r="C1317" s="655" t="s">
        <v>2793</v>
      </c>
      <c r="D1317" s="656" t="s">
        <v>1631</v>
      </c>
      <c r="E1317" s="656" t="s">
        <v>1631</v>
      </c>
      <c r="F1317" s="655">
        <v>58639</v>
      </c>
      <c r="G1317" s="656" t="s">
        <v>81</v>
      </c>
      <c r="H1317" s="656" t="s">
        <v>1183</v>
      </c>
      <c r="I1317" s="656" t="s">
        <v>58</v>
      </c>
      <c r="J1317" s="655">
        <v>22</v>
      </c>
      <c r="K1317" s="655">
        <v>2</v>
      </c>
      <c r="L1317" s="656" t="s">
        <v>52</v>
      </c>
      <c r="M1317" s="656" t="s">
        <v>448</v>
      </c>
      <c r="N1317" s="656" t="s">
        <v>449</v>
      </c>
      <c r="O1317" s="656" t="s">
        <v>449</v>
      </c>
      <c r="P1317" s="656" t="s">
        <v>1176</v>
      </c>
      <c r="Q1317" s="657">
        <v>0</v>
      </c>
      <c r="R1317" s="657">
        <v>0</v>
      </c>
      <c r="S1317" s="657">
        <v>23125</v>
      </c>
      <c r="T1317" s="657">
        <v>23125</v>
      </c>
      <c r="U1317" s="657">
        <v>2615</v>
      </c>
      <c r="V1317" s="655">
        <v>2021</v>
      </c>
      <c r="W1317" s="659"/>
      <c r="X1317" s="660">
        <f t="shared" si="62"/>
        <v>8.8432122370936899</v>
      </c>
      <c r="Y1317" s="661" t="str">
        <f t="shared" si="60"/>
        <v/>
      </c>
      <c r="Z1317" s="661" t="str">
        <f t="shared" si="61"/>
        <v/>
      </c>
    </row>
    <row r="1318" spans="1:26" s="128" customFormat="1" ht="25">
      <c r="A1318" s="655">
        <v>58749</v>
      </c>
      <c r="B1318" s="656" t="s">
        <v>33</v>
      </c>
      <c r="C1318" s="655" t="s">
        <v>2793</v>
      </c>
      <c r="D1318" s="656" t="s">
        <v>1713</v>
      </c>
      <c r="E1318" s="656" t="s">
        <v>1219</v>
      </c>
      <c r="F1318" s="655">
        <v>57365</v>
      </c>
      <c r="G1318" s="656" t="s">
        <v>81</v>
      </c>
      <c r="H1318" s="656" t="s">
        <v>1183</v>
      </c>
      <c r="I1318" s="656" t="s">
        <v>58</v>
      </c>
      <c r="J1318" s="655">
        <v>22</v>
      </c>
      <c r="K1318" s="655">
        <v>2</v>
      </c>
      <c r="L1318" s="656" t="s">
        <v>52</v>
      </c>
      <c r="M1318" s="656" t="s">
        <v>448</v>
      </c>
      <c r="N1318" s="656" t="s">
        <v>449</v>
      </c>
      <c r="O1318" s="656" t="s">
        <v>449</v>
      </c>
      <c r="P1318" s="656" t="s">
        <v>1176</v>
      </c>
      <c r="Q1318" s="657">
        <v>0</v>
      </c>
      <c r="R1318" s="657">
        <v>0</v>
      </c>
      <c r="S1318" s="657">
        <v>15750</v>
      </c>
      <c r="T1318" s="657">
        <v>15750</v>
      </c>
      <c r="U1318" s="657">
        <v>1781</v>
      </c>
      <c r="V1318" s="655">
        <v>2021</v>
      </c>
      <c r="W1318" s="659"/>
      <c r="X1318" s="660">
        <f t="shared" si="62"/>
        <v>8.8433464345873105</v>
      </c>
      <c r="Y1318" s="661" t="str">
        <f t="shared" si="60"/>
        <v/>
      </c>
      <c r="Z1318" s="661" t="str">
        <f t="shared" si="61"/>
        <v/>
      </c>
    </row>
    <row r="1319" spans="1:26" s="128" customFormat="1" hidden="1">
      <c r="A1319" s="655">
        <v>58768</v>
      </c>
      <c r="B1319" s="656" t="s">
        <v>33</v>
      </c>
      <c r="C1319" s="655" t="s">
        <v>2793</v>
      </c>
      <c r="D1319" s="656" t="s">
        <v>1714</v>
      </c>
      <c r="E1319" s="656" t="s">
        <v>447</v>
      </c>
      <c r="F1319" s="655">
        <v>49893</v>
      </c>
      <c r="G1319" s="656" t="s">
        <v>57</v>
      </c>
      <c r="H1319" s="656" t="s">
        <v>1182</v>
      </c>
      <c r="I1319" s="656" t="s">
        <v>58</v>
      </c>
      <c r="J1319" s="655">
        <v>22</v>
      </c>
      <c r="K1319" s="655">
        <v>2</v>
      </c>
      <c r="L1319" s="656" t="s">
        <v>52</v>
      </c>
      <c r="M1319" s="656" t="s">
        <v>71</v>
      </c>
      <c r="N1319" s="656" t="s">
        <v>72</v>
      </c>
      <c r="O1319" s="656" t="s">
        <v>72</v>
      </c>
      <c r="P1319" s="656" t="s">
        <v>1176</v>
      </c>
      <c r="Q1319" s="657">
        <v>0</v>
      </c>
      <c r="R1319" s="657">
        <v>0</v>
      </c>
      <c r="S1319" s="657">
        <v>431512</v>
      </c>
      <c r="T1319" s="657">
        <v>431512</v>
      </c>
      <c r="U1319" s="657">
        <v>48797</v>
      </c>
      <c r="V1319" s="655">
        <v>2021</v>
      </c>
      <c r="W1319" s="659"/>
      <c r="X1319" s="660">
        <f t="shared" si="62"/>
        <v>8.8430026436051392</v>
      </c>
      <c r="Y1319" s="661" t="str">
        <f t="shared" si="60"/>
        <v/>
      </c>
      <c r="Z1319" s="661" t="str">
        <f t="shared" si="61"/>
        <v/>
      </c>
    </row>
    <row r="1320" spans="1:26" s="128" customFormat="1" ht="25" hidden="1">
      <c r="A1320" s="655">
        <v>58777</v>
      </c>
      <c r="B1320" s="656" t="s">
        <v>33</v>
      </c>
      <c r="C1320" s="655" t="s">
        <v>2793</v>
      </c>
      <c r="D1320" s="656" t="s">
        <v>3373</v>
      </c>
      <c r="E1320" s="656" t="s">
        <v>2808</v>
      </c>
      <c r="F1320" s="655">
        <v>56215</v>
      </c>
      <c r="G1320" s="656" t="s">
        <v>57</v>
      </c>
      <c r="H1320" s="656" t="s">
        <v>1182</v>
      </c>
      <c r="I1320" s="656" t="s">
        <v>58</v>
      </c>
      <c r="J1320" s="655">
        <v>22</v>
      </c>
      <c r="K1320" s="655">
        <v>2</v>
      </c>
      <c r="L1320" s="656" t="s">
        <v>52</v>
      </c>
      <c r="M1320" s="656" t="s">
        <v>71</v>
      </c>
      <c r="N1320" s="656" t="s">
        <v>72</v>
      </c>
      <c r="O1320" s="656" t="s">
        <v>72</v>
      </c>
      <c r="P1320" s="656" t="s">
        <v>1176</v>
      </c>
      <c r="Q1320" s="657">
        <v>0</v>
      </c>
      <c r="R1320" s="657">
        <v>0</v>
      </c>
      <c r="S1320" s="657">
        <v>1002893</v>
      </c>
      <c r="T1320" s="657">
        <v>1002893</v>
      </c>
      <c r="U1320" s="657">
        <v>113411</v>
      </c>
      <c r="V1320" s="655">
        <v>2021</v>
      </c>
      <c r="W1320" s="659"/>
      <c r="X1320" s="660">
        <f t="shared" si="62"/>
        <v>8.842995829328725</v>
      </c>
      <c r="Y1320" s="661" t="str">
        <f t="shared" si="60"/>
        <v/>
      </c>
      <c r="Z1320" s="661" t="str">
        <f t="shared" si="61"/>
        <v/>
      </c>
    </row>
    <row r="1321" spans="1:26" s="128" customFormat="1" hidden="1">
      <c r="A1321" s="655">
        <v>58785</v>
      </c>
      <c r="B1321" s="656" t="s">
        <v>33</v>
      </c>
      <c r="C1321" s="655" t="s">
        <v>2793</v>
      </c>
      <c r="D1321" s="656" t="s">
        <v>1632</v>
      </c>
      <c r="E1321" s="656" t="s">
        <v>1633</v>
      </c>
      <c r="F1321" s="655">
        <v>58677</v>
      </c>
      <c r="G1321" s="656" t="s">
        <v>57</v>
      </c>
      <c r="H1321" s="656" t="s">
        <v>1182</v>
      </c>
      <c r="I1321" s="656" t="s">
        <v>58</v>
      </c>
      <c r="J1321" s="655">
        <v>22</v>
      </c>
      <c r="K1321" s="655">
        <v>2</v>
      </c>
      <c r="L1321" s="656" t="s">
        <v>52</v>
      </c>
      <c r="M1321" s="656" t="s">
        <v>448</v>
      </c>
      <c r="N1321" s="656" t="s">
        <v>449</v>
      </c>
      <c r="O1321" s="656" t="s">
        <v>449</v>
      </c>
      <c r="P1321" s="656" t="s">
        <v>1176</v>
      </c>
      <c r="Q1321" s="657">
        <v>0</v>
      </c>
      <c r="R1321" s="657">
        <v>0</v>
      </c>
      <c r="S1321" s="657">
        <v>8037</v>
      </c>
      <c r="T1321" s="657">
        <v>8037</v>
      </c>
      <c r="U1321" s="657">
        <v>909</v>
      </c>
      <c r="V1321" s="655">
        <v>2021</v>
      </c>
      <c r="W1321" s="659"/>
      <c r="X1321" s="660">
        <f t="shared" si="62"/>
        <v>8.8415841584158414</v>
      </c>
      <c r="Y1321" s="661" t="str">
        <f t="shared" si="60"/>
        <v/>
      </c>
      <c r="Z1321" s="661" t="str">
        <f t="shared" si="61"/>
        <v/>
      </c>
    </row>
    <row r="1322" spans="1:26" s="128" customFormat="1" hidden="1">
      <c r="A1322" s="655">
        <v>58786</v>
      </c>
      <c r="B1322" s="656" t="s">
        <v>33</v>
      </c>
      <c r="C1322" s="655" t="s">
        <v>2793</v>
      </c>
      <c r="D1322" s="656" t="s">
        <v>1634</v>
      </c>
      <c r="E1322" s="656" t="s">
        <v>1633</v>
      </c>
      <c r="F1322" s="655">
        <v>58677</v>
      </c>
      <c r="G1322" s="656" t="s">
        <v>57</v>
      </c>
      <c r="H1322" s="656" t="s">
        <v>1182</v>
      </c>
      <c r="I1322" s="656" t="s">
        <v>58</v>
      </c>
      <c r="J1322" s="655">
        <v>22</v>
      </c>
      <c r="K1322" s="655">
        <v>2</v>
      </c>
      <c r="L1322" s="656" t="s">
        <v>52</v>
      </c>
      <c r="M1322" s="656" t="s">
        <v>448</v>
      </c>
      <c r="N1322" s="656" t="s">
        <v>449</v>
      </c>
      <c r="O1322" s="656" t="s">
        <v>449</v>
      </c>
      <c r="P1322" s="656" t="s">
        <v>1176</v>
      </c>
      <c r="Q1322" s="657">
        <v>0</v>
      </c>
      <c r="R1322" s="657">
        <v>0</v>
      </c>
      <c r="S1322" s="657">
        <v>32312</v>
      </c>
      <c r="T1322" s="657">
        <v>32312</v>
      </c>
      <c r="U1322" s="657">
        <v>3654</v>
      </c>
      <c r="V1322" s="655">
        <v>2021</v>
      </c>
      <c r="W1322" s="659"/>
      <c r="X1322" s="660">
        <f t="shared" si="62"/>
        <v>8.842911877394636</v>
      </c>
      <c r="Y1322" s="661" t="str">
        <f t="shared" si="60"/>
        <v/>
      </c>
      <c r="Z1322" s="661" t="str">
        <f t="shared" si="61"/>
        <v/>
      </c>
    </row>
    <row r="1323" spans="1:26" s="128" customFormat="1" hidden="1">
      <c r="A1323" s="655">
        <v>58787</v>
      </c>
      <c r="B1323" s="656" t="s">
        <v>33</v>
      </c>
      <c r="C1323" s="655" t="s">
        <v>2793</v>
      </c>
      <c r="D1323" s="656" t="s">
        <v>1635</v>
      </c>
      <c r="E1323" s="656" t="s">
        <v>1633</v>
      </c>
      <c r="F1323" s="655">
        <v>58677</v>
      </c>
      <c r="G1323" s="656" t="s">
        <v>57</v>
      </c>
      <c r="H1323" s="656" t="s">
        <v>1182</v>
      </c>
      <c r="I1323" s="656" t="s">
        <v>58</v>
      </c>
      <c r="J1323" s="655">
        <v>22</v>
      </c>
      <c r="K1323" s="655">
        <v>2</v>
      </c>
      <c r="L1323" s="656" t="s">
        <v>52</v>
      </c>
      <c r="M1323" s="656" t="s">
        <v>448</v>
      </c>
      <c r="N1323" s="656" t="s">
        <v>449</v>
      </c>
      <c r="O1323" s="656" t="s">
        <v>449</v>
      </c>
      <c r="P1323" s="656" t="s">
        <v>1176</v>
      </c>
      <c r="Q1323" s="657">
        <v>0</v>
      </c>
      <c r="R1323" s="657">
        <v>0</v>
      </c>
      <c r="S1323" s="657">
        <v>21001</v>
      </c>
      <c r="T1323" s="657">
        <v>21001</v>
      </c>
      <c r="U1323" s="657">
        <v>2375</v>
      </c>
      <c r="V1323" s="655">
        <v>2021</v>
      </c>
      <c r="W1323" s="659"/>
      <c r="X1323" s="660">
        <f t="shared" si="62"/>
        <v>8.842526315789474</v>
      </c>
      <c r="Y1323" s="661" t="str">
        <f t="shared" si="60"/>
        <v/>
      </c>
      <c r="Z1323" s="661" t="str">
        <f t="shared" si="61"/>
        <v/>
      </c>
    </row>
    <row r="1324" spans="1:26" s="128" customFormat="1" hidden="1">
      <c r="A1324" s="655">
        <v>58788</v>
      </c>
      <c r="B1324" s="656" t="s">
        <v>33</v>
      </c>
      <c r="C1324" s="655" t="s">
        <v>2793</v>
      </c>
      <c r="D1324" s="656" t="s">
        <v>1636</v>
      </c>
      <c r="E1324" s="656" t="s">
        <v>1633</v>
      </c>
      <c r="F1324" s="655">
        <v>58677</v>
      </c>
      <c r="G1324" s="656" t="s">
        <v>57</v>
      </c>
      <c r="H1324" s="656" t="s">
        <v>1182</v>
      </c>
      <c r="I1324" s="656" t="s">
        <v>58</v>
      </c>
      <c r="J1324" s="655">
        <v>22</v>
      </c>
      <c r="K1324" s="655">
        <v>2</v>
      </c>
      <c r="L1324" s="656" t="s">
        <v>52</v>
      </c>
      <c r="M1324" s="656" t="s">
        <v>448</v>
      </c>
      <c r="N1324" s="656" t="s">
        <v>449</v>
      </c>
      <c r="O1324" s="656" t="s">
        <v>449</v>
      </c>
      <c r="P1324" s="656" t="s">
        <v>1176</v>
      </c>
      <c r="Q1324" s="657">
        <v>0</v>
      </c>
      <c r="R1324" s="657">
        <v>0</v>
      </c>
      <c r="S1324" s="657">
        <v>9878</v>
      </c>
      <c r="T1324" s="657">
        <v>9878</v>
      </c>
      <c r="U1324" s="657">
        <v>1117</v>
      </c>
      <c r="V1324" s="655">
        <v>2021</v>
      </c>
      <c r="W1324" s="659"/>
      <c r="X1324" s="660">
        <f t="shared" si="62"/>
        <v>8.8433303491495074</v>
      </c>
      <c r="Y1324" s="661" t="str">
        <f t="shared" si="60"/>
        <v/>
      </c>
      <c r="Z1324" s="661" t="str">
        <f t="shared" si="61"/>
        <v/>
      </c>
    </row>
    <row r="1325" spans="1:26" s="128" customFormat="1" hidden="1">
      <c r="A1325" s="655">
        <v>58789</v>
      </c>
      <c r="B1325" s="656" t="s">
        <v>33</v>
      </c>
      <c r="C1325" s="655" t="s">
        <v>2793</v>
      </c>
      <c r="D1325" s="656" t="s">
        <v>1637</v>
      </c>
      <c r="E1325" s="656" t="s">
        <v>1633</v>
      </c>
      <c r="F1325" s="655">
        <v>58677</v>
      </c>
      <c r="G1325" s="656" t="s">
        <v>57</v>
      </c>
      <c r="H1325" s="656" t="s">
        <v>1182</v>
      </c>
      <c r="I1325" s="656" t="s">
        <v>58</v>
      </c>
      <c r="J1325" s="655">
        <v>22</v>
      </c>
      <c r="K1325" s="655">
        <v>2</v>
      </c>
      <c r="L1325" s="656" t="s">
        <v>52</v>
      </c>
      <c r="M1325" s="656" t="s">
        <v>448</v>
      </c>
      <c r="N1325" s="656" t="s">
        <v>449</v>
      </c>
      <c r="O1325" s="656" t="s">
        <v>449</v>
      </c>
      <c r="P1325" s="656" t="s">
        <v>1176</v>
      </c>
      <c r="Q1325" s="657">
        <v>0</v>
      </c>
      <c r="R1325" s="657">
        <v>0</v>
      </c>
      <c r="S1325" s="657">
        <v>16404</v>
      </c>
      <c r="T1325" s="657">
        <v>16404</v>
      </c>
      <c r="U1325" s="657">
        <v>1855</v>
      </c>
      <c r="V1325" s="655">
        <v>2021</v>
      </c>
      <c r="W1325" s="659"/>
      <c r="X1325" s="660">
        <f t="shared" si="62"/>
        <v>8.8431266846361183</v>
      </c>
      <c r="Y1325" s="661" t="str">
        <f t="shared" si="60"/>
        <v/>
      </c>
      <c r="Z1325" s="661" t="str">
        <f t="shared" si="61"/>
        <v/>
      </c>
    </row>
    <row r="1326" spans="1:26" s="128" customFormat="1" hidden="1">
      <c r="A1326" s="655">
        <v>58790</v>
      </c>
      <c r="B1326" s="656" t="s">
        <v>33</v>
      </c>
      <c r="C1326" s="655" t="s">
        <v>2793</v>
      </c>
      <c r="D1326" s="656" t="s">
        <v>1638</v>
      </c>
      <c r="E1326" s="656" t="s">
        <v>1633</v>
      </c>
      <c r="F1326" s="655">
        <v>58677</v>
      </c>
      <c r="G1326" s="656" t="s">
        <v>57</v>
      </c>
      <c r="H1326" s="656" t="s">
        <v>1182</v>
      </c>
      <c r="I1326" s="656" t="s">
        <v>58</v>
      </c>
      <c r="J1326" s="655">
        <v>22</v>
      </c>
      <c r="K1326" s="655">
        <v>2</v>
      </c>
      <c r="L1326" s="656" t="s">
        <v>52</v>
      </c>
      <c r="M1326" s="656" t="s">
        <v>448</v>
      </c>
      <c r="N1326" s="656" t="s">
        <v>449</v>
      </c>
      <c r="O1326" s="656" t="s">
        <v>449</v>
      </c>
      <c r="P1326" s="656" t="s">
        <v>1176</v>
      </c>
      <c r="Q1326" s="657">
        <v>0</v>
      </c>
      <c r="R1326" s="657">
        <v>0</v>
      </c>
      <c r="S1326" s="657">
        <v>44815</v>
      </c>
      <c r="T1326" s="657">
        <v>44815</v>
      </c>
      <c r="U1326" s="657">
        <v>5068</v>
      </c>
      <c r="V1326" s="655">
        <v>2021</v>
      </c>
      <c r="W1326" s="659"/>
      <c r="X1326" s="660">
        <f t="shared" si="62"/>
        <v>8.8427387529597468</v>
      </c>
      <c r="Y1326" s="661" t="str">
        <f t="shared" si="60"/>
        <v/>
      </c>
      <c r="Z1326" s="661" t="str">
        <f t="shared" si="61"/>
        <v/>
      </c>
    </row>
    <row r="1327" spans="1:26" s="128" customFormat="1" hidden="1">
      <c r="A1327" s="655">
        <v>58824</v>
      </c>
      <c r="B1327" s="656" t="s">
        <v>33</v>
      </c>
      <c r="C1327" s="655" t="s">
        <v>2793</v>
      </c>
      <c r="D1327" s="656" t="s">
        <v>1639</v>
      </c>
      <c r="E1327" s="656" t="s">
        <v>3374</v>
      </c>
      <c r="F1327" s="655">
        <v>64423</v>
      </c>
      <c r="G1327" s="656" t="s">
        <v>89</v>
      </c>
      <c r="H1327" s="656" t="s">
        <v>1183</v>
      </c>
      <c r="I1327" s="656" t="s">
        <v>58</v>
      </c>
      <c r="J1327" s="655">
        <v>22</v>
      </c>
      <c r="K1327" s="655">
        <v>2</v>
      </c>
      <c r="L1327" s="656" t="s">
        <v>52</v>
      </c>
      <c r="M1327" s="656" t="s">
        <v>448</v>
      </c>
      <c r="N1327" s="656" t="s">
        <v>449</v>
      </c>
      <c r="O1327" s="656" t="s">
        <v>449</v>
      </c>
      <c r="P1327" s="656" t="s">
        <v>1176</v>
      </c>
      <c r="Q1327" s="657">
        <v>0</v>
      </c>
      <c r="R1327" s="657">
        <v>0</v>
      </c>
      <c r="S1327" s="657">
        <v>5163</v>
      </c>
      <c r="T1327" s="657">
        <v>5163</v>
      </c>
      <c r="U1327" s="657">
        <v>584</v>
      </c>
      <c r="V1327" s="655">
        <v>2021</v>
      </c>
      <c r="W1327" s="659"/>
      <c r="X1327" s="660">
        <f t="shared" si="62"/>
        <v>8.8407534246575334</v>
      </c>
      <c r="Y1327" s="661" t="str">
        <f t="shared" si="60"/>
        <v/>
      </c>
      <c r="Z1327" s="661" t="str">
        <f t="shared" si="61"/>
        <v/>
      </c>
    </row>
    <row r="1328" spans="1:26" s="128" customFormat="1">
      <c r="A1328" s="655">
        <v>58839</v>
      </c>
      <c r="B1328" s="656" t="s">
        <v>33</v>
      </c>
      <c r="C1328" s="655" t="s">
        <v>2793</v>
      </c>
      <c r="D1328" s="656" t="s">
        <v>1640</v>
      </c>
      <c r="E1328" s="656" t="s">
        <v>1769</v>
      </c>
      <c r="F1328" s="655">
        <v>59286</v>
      </c>
      <c r="G1328" s="656" t="s">
        <v>81</v>
      </c>
      <c r="H1328" s="656" t="s">
        <v>1183</v>
      </c>
      <c r="I1328" s="656" t="s">
        <v>58</v>
      </c>
      <c r="J1328" s="655">
        <v>22</v>
      </c>
      <c r="K1328" s="655">
        <v>2</v>
      </c>
      <c r="L1328" s="656" t="s">
        <v>52</v>
      </c>
      <c r="M1328" s="656" t="s">
        <v>448</v>
      </c>
      <c r="N1328" s="656" t="s">
        <v>449</v>
      </c>
      <c r="O1328" s="656" t="s">
        <v>449</v>
      </c>
      <c r="P1328" s="656" t="s">
        <v>1176</v>
      </c>
      <c r="Q1328" s="657">
        <v>0</v>
      </c>
      <c r="R1328" s="657">
        <v>0</v>
      </c>
      <c r="S1328" s="657">
        <v>15529</v>
      </c>
      <c r="T1328" s="657">
        <v>15529</v>
      </c>
      <c r="U1328" s="657">
        <v>1756</v>
      </c>
      <c r="V1328" s="655">
        <v>2021</v>
      </c>
      <c r="W1328" s="659"/>
      <c r="X1328" s="660">
        <f t="shared" si="62"/>
        <v>8.8433940774487478</v>
      </c>
      <c r="Y1328" s="661" t="str">
        <f t="shared" si="60"/>
        <v/>
      </c>
      <c r="Z1328" s="661" t="str">
        <f t="shared" si="61"/>
        <v/>
      </c>
    </row>
    <row r="1329" spans="1:26" s="128" customFormat="1">
      <c r="A1329" s="655">
        <v>58871</v>
      </c>
      <c r="B1329" s="656" t="s">
        <v>33</v>
      </c>
      <c r="C1329" s="655" t="s">
        <v>2793</v>
      </c>
      <c r="D1329" s="656" t="s">
        <v>1641</v>
      </c>
      <c r="E1329" s="656" t="s">
        <v>1921</v>
      </c>
      <c r="F1329" s="655">
        <v>59139</v>
      </c>
      <c r="G1329" s="656" t="s">
        <v>81</v>
      </c>
      <c r="H1329" s="656" t="s">
        <v>1183</v>
      </c>
      <c r="I1329" s="656" t="s">
        <v>58</v>
      </c>
      <c r="J1329" s="655">
        <v>22</v>
      </c>
      <c r="K1329" s="655">
        <v>2</v>
      </c>
      <c r="L1329" s="656" t="s">
        <v>52</v>
      </c>
      <c r="M1329" s="656" t="s">
        <v>448</v>
      </c>
      <c r="N1329" s="656" t="s">
        <v>449</v>
      </c>
      <c r="O1329" s="656" t="s">
        <v>449</v>
      </c>
      <c r="P1329" s="656" t="s">
        <v>1176</v>
      </c>
      <c r="Q1329" s="657">
        <v>0</v>
      </c>
      <c r="R1329" s="657">
        <v>0</v>
      </c>
      <c r="S1329" s="657">
        <v>23090</v>
      </c>
      <c r="T1329" s="657">
        <v>23090</v>
      </c>
      <c r="U1329" s="657">
        <v>2611</v>
      </c>
      <c r="V1329" s="655">
        <v>2021</v>
      </c>
      <c r="W1329" s="659"/>
      <c r="X1329" s="660">
        <f t="shared" si="62"/>
        <v>8.8433550363845264</v>
      </c>
      <c r="Y1329" s="661" t="str">
        <f t="shared" si="60"/>
        <v/>
      </c>
      <c r="Z1329" s="661" t="str">
        <f t="shared" si="61"/>
        <v/>
      </c>
    </row>
    <row r="1330" spans="1:26" s="128" customFormat="1" ht="25" hidden="1">
      <c r="A1330" s="655">
        <v>58873</v>
      </c>
      <c r="B1330" s="656" t="s">
        <v>33</v>
      </c>
      <c r="C1330" s="655" t="s">
        <v>2793</v>
      </c>
      <c r="D1330" s="656" t="s">
        <v>1642</v>
      </c>
      <c r="E1330" s="656" t="s">
        <v>1643</v>
      </c>
      <c r="F1330" s="655">
        <v>58756</v>
      </c>
      <c r="G1330" s="656" t="s">
        <v>57</v>
      </c>
      <c r="H1330" s="656" t="s">
        <v>1182</v>
      </c>
      <c r="I1330" s="656" t="s">
        <v>58</v>
      </c>
      <c r="J1330" s="655">
        <v>22</v>
      </c>
      <c r="K1330" s="655">
        <v>2</v>
      </c>
      <c r="L1330" s="656" t="s">
        <v>52</v>
      </c>
      <c r="M1330" s="656" t="s">
        <v>35</v>
      </c>
      <c r="N1330" s="656" t="s">
        <v>36</v>
      </c>
      <c r="O1330" s="656" t="s">
        <v>37</v>
      </c>
      <c r="P1330" s="656" t="s">
        <v>1176</v>
      </c>
      <c r="Q1330" s="657">
        <v>0</v>
      </c>
      <c r="R1330" s="657">
        <v>0</v>
      </c>
      <c r="S1330" s="657">
        <v>201604</v>
      </c>
      <c r="T1330" s="657">
        <v>201604</v>
      </c>
      <c r="U1330" s="657">
        <v>22798</v>
      </c>
      <c r="V1330" s="655">
        <v>2021</v>
      </c>
      <c r="W1330" s="659"/>
      <c r="X1330" s="660">
        <f t="shared" si="62"/>
        <v>8.8430564084568815</v>
      </c>
      <c r="Y1330" s="661" t="str">
        <f t="shared" si="60"/>
        <v/>
      </c>
      <c r="Z1330" s="661" t="str">
        <f t="shared" si="61"/>
        <v/>
      </c>
    </row>
    <row r="1331" spans="1:26" s="128" customFormat="1" hidden="1">
      <c r="A1331" s="655">
        <v>58876</v>
      </c>
      <c r="B1331" s="656" t="s">
        <v>33</v>
      </c>
      <c r="C1331" s="655" t="s">
        <v>2793</v>
      </c>
      <c r="D1331" s="656" t="s">
        <v>2329</v>
      </c>
      <c r="E1331" s="656" t="s">
        <v>2330</v>
      </c>
      <c r="F1331" s="655">
        <v>60556</v>
      </c>
      <c r="G1331" s="656" t="s">
        <v>41</v>
      </c>
      <c r="H1331" s="656" t="s">
        <v>1183</v>
      </c>
      <c r="I1331" s="656" t="s">
        <v>58</v>
      </c>
      <c r="J1331" s="655">
        <v>22</v>
      </c>
      <c r="K1331" s="655">
        <v>2</v>
      </c>
      <c r="L1331" s="656" t="s">
        <v>52</v>
      </c>
      <c r="M1331" s="656" t="s">
        <v>448</v>
      </c>
      <c r="N1331" s="656" t="s">
        <v>449</v>
      </c>
      <c r="O1331" s="656" t="s">
        <v>449</v>
      </c>
      <c r="P1331" s="656" t="s">
        <v>1176</v>
      </c>
      <c r="Q1331" s="657">
        <v>0</v>
      </c>
      <c r="R1331" s="657">
        <v>0</v>
      </c>
      <c r="S1331" s="657">
        <v>344853</v>
      </c>
      <c r="T1331" s="657">
        <v>344853</v>
      </c>
      <c r="U1331" s="657">
        <v>38997</v>
      </c>
      <c r="V1331" s="655">
        <v>2021</v>
      </c>
      <c r="W1331" s="659"/>
      <c r="X1331" s="660">
        <f t="shared" si="62"/>
        <v>8.8430648511423957</v>
      </c>
      <c r="Y1331" s="661" t="str">
        <f t="shared" si="60"/>
        <v/>
      </c>
      <c r="Z1331" s="661" t="str">
        <f t="shared" si="61"/>
        <v/>
      </c>
    </row>
    <row r="1332" spans="1:26" s="128" customFormat="1" ht="25">
      <c r="A1332" s="655">
        <v>58934</v>
      </c>
      <c r="B1332" s="656" t="s">
        <v>33</v>
      </c>
      <c r="C1332" s="655" t="s">
        <v>2793</v>
      </c>
      <c r="D1332" s="656" t="s">
        <v>1644</v>
      </c>
      <c r="E1332" s="656" t="s">
        <v>1645</v>
      </c>
      <c r="F1332" s="655">
        <v>58801</v>
      </c>
      <c r="G1332" s="656" t="s">
        <v>81</v>
      </c>
      <c r="H1332" s="656" t="s">
        <v>1183</v>
      </c>
      <c r="I1332" s="656" t="s">
        <v>58</v>
      </c>
      <c r="J1332" s="655">
        <v>22</v>
      </c>
      <c r="K1332" s="655">
        <v>2</v>
      </c>
      <c r="L1332" s="656" t="s">
        <v>52</v>
      </c>
      <c r="M1332" s="656" t="s">
        <v>448</v>
      </c>
      <c r="N1332" s="656" t="s">
        <v>449</v>
      </c>
      <c r="O1332" s="656" t="s">
        <v>449</v>
      </c>
      <c r="P1332" s="656" t="s">
        <v>1176</v>
      </c>
      <c r="Q1332" s="657">
        <v>0</v>
      </c>
      <c r="R1332" s="657">
        <v>0</v>
      </c>
      <c r="S1332" s="657">
        <v>34205</v>
      </c>
      <c r="T1332" s="657">
        <v>34205</v>
      </c>
      <c r="U1332" s="657">
        <v>3868</v>
      </c>
      <c r="V1332" s="655">
        <v>2021</v>
      </c>
      <c r="W1332" s="659"/>
      <c r="X1332" s="660">
        <f t="shared" si="62"/>
        <v>8.8430713547052733</v>
      </c>
      <c r="Y1332" s="661" t="str">
        <f t="shared" si="60"/>
        <v/>
      </c>
      <c r="Z1332" s="661" t="str">
        <f t="shared" si="61"/>
        <v/>
      </c>
    </row>
    <row r="1333" spans="1:26" s="128" customFormat="1" hidden="1">
      <c r="A1333" s="655">
        <v>58935</v>
      </c>
      <c r="B1333" s="656" t="s">
        <v>33</v>
      </c>
      <c r="C1333" s="655" t="s">
        <v>2793</v>
      </c>
      <c r="D1333" s="656" t="s">
        <v>1646</v>
      </c>
      <c r="E1333" s="656" t="s">
        <v>1647</v>
      </c>
      <c r="F1333" s="655">
        <v>58800</v>
      </c>
      <c r="G1333" s="656" t="s">
        <v>89</v>
      </c>
      <c r="H1333" s="656" t="s">
        <v>1183</v>
      </c>
      <c r="I1333" s="656" t="s">
        <v>58</v>
      </c>
      <c r="J1333" s="655">
        <v>22</v>
      </c>
      <c r="K1333" s="655">
        <v>2</v>
      </c>
      <c r="L1333" s="656" t="s">
        <v>52</v>
      </c>
      <c r="M1333" s="656" t="s">
        <v>448</v>
      </c>
      <c r="N1333" s="656" t="s">
        <v>449</v>
      </c>
      <c r="O1333" s="656" t="s">
        <v>449</v>
      </c>
      <c r="P1333" s="656" t="s">
        <v>1176</v>
      </c>
      <c r="Q1333" s="657">
        <v>0</v>
      </c>
      <c r="R1333" s="657">
        <v>0</v>
      </c>
      <c r="S1333" s="657">
        <v>24503</v>
      </c>
      <c r="T1333" s="657">
        <v>24503</v>
      </c>
      <c r="U1333" s="657">
        <v>2771</v>
      </c>
      <c r="V1333" s="655">
        <v>2021</v>
      </c>
      <c r="W1333" s="659"/>
      <c r="X1333" s="660">
        <f t="shared" si="62"/>
        <v>8.8426560808372425</v>
      </c>
      <c r="Y1333" s="661" t="str">
        <f t="shared" si="60"/>
        <v/>
      </c>
      <c r="Z1333" s="661" t="str">
        <f t="shared" si="61"/>
        <v/>
      </c>
    </row>
    <row r="1334" spans="1:26" s="128" customFormat="1">
      <c r="A1334" s="655">
        <v>58936</v>
      </c>
      <c r="B1334" s="656" t="s">
        <v>33</v>
      </c>
      <c r="C1334" s="655" t="s">
        <v>2793</v>
      </c>
      <c r="D1334" s="656" t="s">
        <v>1715</v>
      </c>
      <c r="E1334" s="656" t="s">
        <v>1716</v>
      </c>
      <c r="F1334" s="655">
        <v>58802</v>
      </c>
      <c r="G1334" s="656" t="s">
        <v>81</v>
      </c>
      <c r="H1334" s="656" t="s">
        <v>1183</v>
      </c>
      <c r="I1334" s="656" t="s">
        <v>58</v>
      </c>
      <c r="J1334" s="655">
        <v>22</v>
      </c>
      <c r="K1334" s="655">
        <v>2</v>
      </c>
      <c r="L1334" s="656" t="s">
        <v>52</v>
      </c>
      <c r="M1334" s="656" t="s">
        <v>448</v>
      </c>
      <c r="N1334" s="656" t="s">
        <v>449</v>
      </c>
      <c r="O1334" s="656" t="s">
        <v>449</v>
      </c>
      <c r="P1334" s="656" t="s">
        <v>1176</v>
      </c>
      <c r="Q1334" s="657">
        <v>0</v>
      </c>
      <c r="R1334" s="657">
        <v>0</v>
      </c>
      <c r="S1334" s="657">
        <v>32082</v>
      </c>
      <c r="T1334" s="657">
        <v>32082</v>
      </c>
      <c r="U1334" s="657">
        <v>3628</v>
      </c>
      <c r="V1334" s="655">
        <v>2021</v>
      </c>
      <c r="W1334" s="659"/>
      <c r="X1334" s="660">
        <f t="shared" si="62"/>
        <v>8.8428886438809258</v>
      </c>
      <c r="Y1334" s="661" t="str">
        <f t="shared" si="60"/>
        <v/>
      </c>
      <c r="Z1334" s="661" t="str">
        <f t="shared" si="61"/>
        <v/>
      </c>
    </row>
    <row r="1335" spans="1:26" s="128" customFormat="1">
      <c r="A1335" s="655">
        <v>58937</v>
      </c>
      <c r="B1335" s="656" t="s">
        <v>33</v>
      </c>
      <c r="C1335" s="655" t="s">
        <v>2793</v>
      </c>
      <c r="D1335" s="656" t="s">
        <v>1717</v>
      </c>
      <c r="E1335" s="656" t="s">
        <v>1718</v>
      </c>
      <c r="F1335" s="655">
        <v>58803</v>
      </c>
      <c r="G1335" s="656" t="s">
        <v>81</v>
      </c>
      <c r="H1335" s="656" t="s">
        <v>1183</v>
      </c>
      <c r="I1335" s="656" t="s">
        <v>58</v>
      </c>
      <c r="J1335" s="655">
        <v>22</v>
      </c>
      <c r="K1335" s="655">
        <v>2</v>
      </c>
      <c r="L1335" s="656" t="s">
        <v>52</v>
      </c>
      <c r="M1335" s="656" t="s">
        <v>448</v>
      </c>
      <c r="N1335" s="656" t="s">
        <v>449</v>
      </c>
      <c r="O1335" s="656" t="s">
        <v>449</v>
      </c>
      <c r="P1335" s="656" t="s">
        <v>1176</v>
      </c>
      <c r="Q1335" s="657">
        <v>0</v>
      </c>
      <c r="R1335" s="657">
        <v>0</v>
      </c>
      <c r="S1335" s="657">
        <v>27724</v>
      </c>
      <c r="T1335" s="657">
        <v>27724</v>
      </c>
      <c r="U1335" s="657">
        <v>3135</v>
      </c>
      <c r="V1335" s="655">
        <v>2021</v>
      </c>
      <c r="W1335" s="659"/>
      <c r="X1335" s="660">
        <f t="shared" si="62"/>
        <v>8.843381180223286</v>
      </c>
      <c r="Y1335" s="661" t="str">
        <f t="shared" si="60"/>
        <v/>
      </c>
      <c r="Z1335" s="661" t="str">
        <f t="shared" si="61"/>
        <v/>
      </c>
    </row>
    <row r="1336" spans="1:26" s="128" customFormat="1">
      <c r="A1336" s="655">
        <v>58958</v>
      </c>
      <c r="B1336" s="656" t="s">
        <v>33</v>
      </c>
      <c r="C1336" s="655" t="s">
        <v>2793</v>
      </c>
      <c r="D1336" s="656" t="s">
        <v>1648</v>
      </c>
      <c r="E1336" s="656" t="s">
        <v>1648</v>
      </c>
      <c r="F1336" s="655">
        <v>58821</v>
      </c>
      <c r="G1336" s="656" t="s">
        <v>81</v>
      </c>
      <c r="H1336" s="656" t="s">
        <v>1183</v>
      </c>
      <c r="I1336" s="656" t="s">
        <v>58</v>
      </c>
      <c r="J1336" s="655">
        <v>22</v>
      </c>
      <c r="K1336" s="655">
        <v>2</v>
      </c>
      <c r="L1336" s="656" t="s">
        <v>52</v>
      </c>
      <c r="M1336" s="656" t="s">
        <v>71</v>
      </c>
      <c r="N1336" s="656" t="s">
        <v>72</v>
      </c>
      <c r="O1336" s="656" t="s">
        <v>72</v>
      </c>
      <c r="P1336" s="656" t="s">
        <v>1176</v>
      </c>
      <c r="Q1336" s="657">
        <v>0</v>
      </c>
      <c r="R1336" s="657">
        <v>0</v>
      </c>
      <c r="S1336" s="657">
        <v>21843</v>
      </c>
      <c r="T1336" s="657">
        <v>21843</v>
      </c>
      <c r="U1336" s="657">
        <v>2470</v>
      </c>
      <c r="V1336" s="655">
        <v>2021</v>
      </c>
      <c r="W1336" s="659"/>
      <c r="X1336" s="660">
        <f t="shared" si="62"/>
        <v>8.8433198380566793</v>
      </c>
      <c r="Y1336" s="661" t="str">
        <f t="shared" si="60"/>
        <v/>
      </c>
      <c r="Z1336" s="661" t="str">
        <f t="shared" si="61"/>
        <v/>
      </c>
    </row>
    <row r="1337" spans="1:26" s="128" customFormat="1" ht="25" hidden="1">
      <c r="A1337" s="655">
        <v>58964</v>
      </c>
      <c r="B1337" s="656" t="s">
        <v>33</v>
      </c>
      <c r="C1337" s="655" t="s">
        <v>2793</v>
      </c>
      <c r="D1337" s="656" t="s">
        <v>1719</v>
      </c>
      <c r="E1337" s="656" t="s">
        <v>1128</v>
      </c>
      <c r="F1337" s="655">
        <v>56769</v>
      </c>
      <c r="G1337" s="656" t="s">
        <v>89</v>
      </c>
      <c r="H1337" s="656" t="s">
        <v>1183</v>
      </c>
      <c r="I1337" s="656" t="s">
        <v>58</v>
      </c>
      <c r="J1337" s="655">
        <v>22</v>
      </c>
      <c r="K1337" s="655">
        <v>2</v>
      </c>
      <c r="L1337" s="656" t="s">
        <v>52</v>
      </c>
      <c r="M1337" s="656" t="s">
        <v>448</v>
      </c>
      <c r="N1337" s="656" t="s">
        <v>449</v>
      </c>
      <c r="O1337" s="656" t="s">
        <v>449</v>
      </c>
      <c r="P1337" s="656" t="s">
        <v>1176</v>
      </c>
      <c r="Q1337" s="657">
        <v>0</v>
      </c>
      <c r="R1337" s="657">
        <v>0</v>
      </c>
      <c r="S1337" s="657">
        <v>24796</v>
      </c>
      <c r="T1337" s="657">
        <v>24796</v>
      </c>
      <c r="U1337" s="657">
        <v>2804</v>
      </c>
      <c r="V1337" s="655">
        <v>2021</v>
      </c>
      <c r="W1337" s="659"/>
      <c r="X1337" s="660">
        <f t="shared" si="62"/>
        <v>8.8430813124108418</v>
      </c>
      <c r="Y1337" s="661" t="str">
        <f t="shared" si="60"/>
        <v/>
      </c>
      <c r="Z1337" s="661" t="str">
        <f t="shared" si="61"/>
        <v/>
      </c>
    </row>
    <row r="1338" spans="1:26" s="128" customFormat="1">
      <c r="A1338" s="655">
        <v>58974</v>
      </c>
      <c r="B1338" s="656" t="s">
        <v>33</v>
      </c>
      <c r="C1338" s="655" t="s">
        <v>2793</v>
      </c>
      <c r="D1338" s="656" t="s">
        <v>1720</v>
      </c>
      <c r="E1338" s="656" t="s">
        <v>1765</v>
      </c>
      <c r="F1338" s="655">
        <v>59254</v>
      </c>
      <c r="G1338" s="656" t="s">
        <v>81</v>
      </c>
      <c r="H1338" s="656" t="s">
        <v>1183</v>
      </c>
      <c r="I1338" s="656" t="s">
        <v>58</v>
      </c>
      <c r="J1338" s="655">
        <v>22</v>
      </c>
      <c r="K1338" s="655">
        <v>2</v>
      </c>
      <c r="L1338" s="656" t="s">
        <v>52</v>
      </c>
      <c r="M1338" s="656" t="s">
        <v>448</v>
      </c>
      <c r="N1338" s="656" t="s">
        <v>449</v>
      </c>
      <c r="O1338" s="656" t="s">
        <v>449</v>
      </c>
      <c r="P1338" s="656" t="s">
        <v>1176</v>
      </c>
      <c r="Q1338" s="657">
        <v>0</v>
      </c>
      <c r="R1338" s="657">
        <v>0</v>
      </c>
      <c r="S1338" s="657">
        <v>24972</v>
      </c>
      <c r="T1338" s="657">
        <v>24972</v>
      </c>
      <c r="U1338" s="657">
        <v>2824</v>
      </c>
      <c r="V1338" s="655">
        <v>2021</v>
      </c>
      <c r="W1338" s="659"/>
      <c r="X1338" s="660">
        <f t="shared" si="62"/>
        <v>8.8427762039660056</v>
      </c>
      <c r="Y1338" s="661" t="str">
        <f t="shared" si="60"/>
        <v/>
      </c>
      <c r="Z1338" s="661" t="str">
        <f t="shared" si="61"/>
        <v/>
      </c>
    </row>
    <row r="1339" spans="1:26" s="128" customFormat="1" ht="25" hidden="1">
      <c r="A1339" s="655">
        <v>58979</v>
      </c>
      <c r="B1339" s="656" t="s">
        <v>33</v>
      </c>
      <c r="C1339" s="655" t="s">
        <v>2793</v>
      </c>
      <c r="D1339" s="656" t="s">
        <v>2331</v>
      </c>
      <c r="E1339" s="656" t="s">
        <v>1733</v>
      </c>
      <c r="F1339" s="655">
        <v>57170</v>
      </c>
      <c r="G1339" s="656" t="s">
        <v>57</v>
      </c>
      <c r="H1339" s="656" t="s">
        <v>1182</v>
      </c>
      <c r="I1339" s="656" t="s">
        <v>58</v>
      </c>
      <c r="J1339" s="655">
        <v>22</v>
      </c>
      <c r="K1339" s="655">
        <v>2</v>
      </c>
      <c r="L1339" s="656" t="s">
        <v>52</v>
      </c>
      <c r="M1339" s="656" t="s">
        <v>71</v>
      </c>
      <c r="N1339" s="656" t="s">
        <v>72</v>
      </c>
      <c r="O1339" s="656" t="s">
        <v>72</v>
      </c>
      <c r="P1339" s="656" t="s">
        <v>1176</v>
      </c>
      <c r="Q1339" s="657">
        <v>0</v>
      </c>
      <c r="R1339" s="657">
        <v>0</v>
      </c>
      <c r="S1339" s="657">
        <v>2123921</v>
      </c>
      <c r="T1339" s="657">
        <v>2123921</v>
      </c>
      <c r="U1339" s="657">
        <v>240181</v>
      </c>
      <c r="V1339" s="655">
        <v>2021</v>
      </c>
      <c r="W1339" s="659"/>
      <c r="X1339" s="660">
        <f t="shared" si="62"/>
        <v>8.8430017361906224</v>
      </c>
      <c r="Y1339" s="661" t="str">
        <f t="shared" si="60"/>
        <v/>
      </c>
      <c r="Z1339" s="661" t="str">
        <f t="shared" si="61"/>
        <v/>
      </c>
    </row>
    <row r="1340" spans="1:26" s="128" customFormat="1" ht="25" hidden="1">
      <c r="A1340" s="655">
        <v>58992</v>
      </c>
      <c r="B1340" s="656" t="s">
        <v>33</v>
      </c>
      <c r="C1340" s="655" t="s">
        <v>2793</v>
      </c>
      <c r="D1340" s="656" t="s">
        <v>1649</v>
      </c>
      <c r="E1340" s="656" t="s">
        <v>1649</v>
      </c>
      <c r="F1340" s="655">
        <v>58844</v>
      </c>
      <c r="G1340" s="656" t="s">
        <v>81</v>
      </c>
      <c r="H1340" s="656" t="s">
        <v>1183</v>
      </c>
      <c r="I1340" s="656" t="s">
        <v>58</v>
      </c>
      <c r="J1340" s="655">
        <v>92214</v>
      </c>
      <c r="K1340" s="655">
        <v>4</v>
      </c>
      <c r="L1340" s="656" t="s">
        <v>412</v>
      </c>
      <c r="M1340" s="656" t="s">
        <v>71</v>
      </c>
      <c r="N1340" s="656" t="s">
        <v>72</v>
      </c>
      <c r="O1340" s="656" t="s">
        <v>72</v>
      </c>
      <c r="P1340" s="656" t="s">
        <v>1176</v>
      </c>
      <c r="Q1340" s="657">
        <v>0</v>
      </c>
      <c r="R1340" s="657">
        <v>0</v>
      </c>
      <c r="S1340" s="657">
        <v>48814</v>
      </c>
      <c r="T1340" s="657">
        <v>48814</v>
      </c>
      <c r="U1340" s="657">
        <v>5520</v>
      </c>
      <c r="V1340" s="655">
        <v>2021</v>
      </c>
      <c r="W1340" s="659"/>
      <c r="X1340" s="660" t="str">
        <f t="shared" si="62"/>
        <v/>
      </c>
      <c r="Y1340" s="661" t="str">
        <f t="shared" si="60"/>
        <v/>
      </c>
      <c r="Z1340" s="661" t="str">
        <f t="shared" si="61"/>
        <v/>
      </c>
    </row>
    <row r="1341" spans="1:26" s="128" customFormat="1" ht="25" hidden="1">
      <c r="A1341" s="655">
        <v>58993</v>
      </c>
      <c r="B1341" s="656" t="s">
        <v>33</v>
      </c>
      <c r="C1341" s="655" t="s">
        <v>2793</v>
      </c>
      <c r="D1341" s="656" t="s">
        <v>1650</v>
      </c>
      <c r="E1341" s="656" t="s">
        <v>1651</v>
      </c>
      <c r="F1341" s="655">
        <v>58845</v>
      </c>
      <c r="G1341" s="656" t="s">
        <v>90</v>
      </c>
      <c r="H1341" s="656" t="s">
        <v>1183</v>
      </c>
      <c r="I1341" s="656" t="s">
        <v>58</v>
      </c>
      <c r="J1341" s="655">
        <v>22</v>
      </c>
      <c r="K1341" s="655">
        <v>2</v>
      </c>
      <c r="L1341" s="656" t="s">
        <v>52</v>
      </c>
      <c r="M1341" s="656" t="s">
        <v>51</v>
      </c>
      <c r="N1341" s="656" t="s">
        <v>63</v>
      </c>
      <c r="O1341" s="656" t="s">
        <v>64</v>
      </c>
      <c r="P1341" s="656" t="s">
        <v>1037</v>
      </c>
      <c r="Q1341" s="657">
        <v>9259</v>
      </c>
      <c r="R1341" s="657">
        <v>9259</v>
      </c>
      <c r="S1341" s="657">
        <v>3500</v>
      </c>
      <c r="T1341" s="657">
        <v>3500</v>
      </c>
      <c r="U1341" s="657">
        <v>261</v>
      </c>
      <c r="V1341" s="655">
        <v>2021</v>
      </c>
      <c r="W1341" s="659"/>
      <c r="X1341" s="660">
        <f t="shared" si="62"/>
        <v>13.409961685823754</v>
      </c>
      <c r="Y1341" s="661" t="str">
        <f t="shared" si="60"/>
        <v/>
      </c>
      <c r="Z1341" s="661" t="str">
        <f t="shared" si="61"/>
        <v/>
      </c>
    </row>
    <row r="1342" spans="1:26" s="128" customFormat="1" ht="25">
      <c r="A1342" s="655">
        <v>59011</v>
      </c>
      <c r="B1342" s="656" t="s">
        <v>33</v>
      </c>
      <c r="C1342" s="655" t="s">
        <v>2793</v>
      </c>
      <c r="D1342" s="656" t="s">
        <v>1652</v>
      </c>
      <c r="E1342" s="656" t="s">
        <v>1924</v>
      </c>
      <c r="F1342" s="655">
        <v>58860</v>
      </c>
      <c r="G1342" s="656" t="s">
        <v>81</v>
      </c>
      <c r="H1342" s="656" t="s">
        <v>1183</v>
      </c>
      <c r="I1342" s="656" t="s">
        <v>58</v>
      </c>
      <c r="J1342" s="655">
        <v>22</v>
      </c>
      <c r="K1342" s="655">
        <v>2</v>
      </c>
      <c r="L1342" s="656" t="s">
        <v>52</v>
      </c>
      <c r="M1342" s="656" t="s">
        <v>51</v>
      </c>
      <c r="N1342" s="656" t="s">
        <v>63</v>
      </c>
      <c r="O1342" s="656" t="s">
        <v>64</v>
      </c>
      <c r="P1342" s="656" t="s">
        <v>1037</v>
      </c>
      <c r="Q1342" s="657">
        <v>266884</v>
      </c>
      <c r="R1342" s="657">
        <v>266884</v>
      </c>
      <c r="S1342" s="657">
        <v>128105</v>
      </c>
      <c r="T1342" s="657">
        <v>128105</v>
      </c>
      <c r="U1342" s="657">
        <v>11449</v>
      </c>
      <c r="V1342" s="655">
        <v>2021</v>
      </c>
      <c r="W1342" s="659"/>
      <c r="X1342" s="660">
        <f t="shared" si="62"/>
        <v>11.189186828543978</v>
      </c>
      <c r="Y1342" s="661" t="str">
        <f t="shared" si="60"/>
        <v/>
      </c>
      <c r="Z1342" s="661" t="str">
        <f t="shared" si="61"/>
        <v/>
      </c>
    </row>
    <row r="1343" spans="1:26" s="128" customFormat="1">
      <c r="A1343" s="655">
        <v>59013</v>
      </c>
      <c r="B1343" s="656" t="s">
        <v>33</v>
      </c>
      <c r="C1343" s="655" t="s">
        <v>2793</v>
      </c>
      <c r="D1343" s="656" t="s">
        <v>1653</v>
      </c>
      <c r="E1343" s="656" t="s">
        <v>2210</v>
      </c>
      <c r="F1343" s="655">
        <v>61012</v>
      </c>
      <c r="G1343" s="656" t="s">
        <v>81</v>
      </c>
      <c r="H1343" s="656" t="s">
        <v>1183</v>
      </c>
      <c r="I1343" s="656" t="s">
        <v>58</v>
      </c>
      <c r="J1343" s="655">
        <v>22</v>
      </c>
      <c r="K1343" s="655">
        <v>2</v>
      </c>
      <c r="L1343" s="656" t="s">
        <v>52</v>
      </c>
      <c r="M1343" s="656" t="s">
        <v>448</v>
      </c>
      <c r="N1343" s="656" t="s">
        <v>449</v>
      </c>
      <c r="O1343" s="656" t="s">
        <v>449</v>
      </c>
      <c r="P1343" s="656" t="s">
        <v>1176</v>
      </c>
      <c r="Q1343" s="657">
        <v>0</v>
      </c>
      <c r="R1343" s="657">
        <v>0</v>
      </c>
      <c r="S1343" s="657">
        <v>30800</v>
      </c>
      <c r="T1343" s="657">
        <v>30800</v>
      </c>
      <c r="U1343" s="657">
        <v>3483</v>
      </c>
      <c r="V1343" s="655">
        <v>2021</v>
      </c>
      <c r="W1343" s="659"/>
      <c r="X1343" s="660">
        <f t="shared" si="62"/>
        <v>8.8429514786103933</v>
      </c>
      <c r="Y1343" s="661" t="str">
        <f t="shared" si="60"/>
        <v/>
      </c>
      <c r="Z1343" s="661" t="str">
        <f t="shared" si="61"/>
        <v/>
      </c>
    </row>
    <row r="1344" spans="1:26" s="128" customFormat="1">
      <c r="A1344" s="655">
        <v>59014</v>
      </c>
      <c r="B1344" s="656" t="s">
        <v>33</v>
      </c>
      <c r="C1344" s="655" t="s">
        <v>2793</v>
      </c>
      <c r="D1344" s="656" t="s">
        <v>1654</v>
      </c>
      <c r="E1344" s="656" t="s">
        <v>2210</v>
      </c>
      <c r="F1344" s="655">
        <v>61012</v>
      </c>
      <c r="G1344" s="656" t="s">
        <v>81</v>
      </c>
      <c r="H1344" s="656" t="s">
        <v>1183</v>
      </c>
      <c r="I1344" s="656" t="s">
        <v>58</v>
      </c>
      <c r="J1344" s="655">
        <v>22</v>
      </c>
      <c r="K1344" s="655">
        <v>2</v>
      </c>
      <c r="L1344" s="656" t="s">
        <v>52</v>
      </c>
      <c r="M1344" s="656" t="s">
        <v>448</v>
      </c>
      <c r="N1344" s="656" t="s">
        <v>449</v>
      </c>
      <c r="O1344" s="656" t="s">
        <v>449</v>
      </c>
      <c r="P1344" s="656" t="s">
        <v>1176</v>
      </c>
      <c r="Q1344" s="657">
        <v>0</v>
      </c>
      <c r="R1344" s="657">
        <v>0</v>
      </c>
      <c r="S1344" s="657">
        <v>61980</v>
      </c>
      <c r="T1344" s="657">
        <v>61980</v>
      </c>
      <c r="U1344" s="657">
        <v>7009</v>
      </c>
      <c r="V1344" s="655">
        <v>2021</v>
      </c>
      <c r="W1344" s="659"/>
      <c r="X1344" s="660">
        <f t="shared" si="62"/>
        <v>8.8429162505350263</v>
      </c>
      <c r="Y1344" s="661" t="str">
        <f t="shared" si="60"/>
        <v/>
      </c>
      <c r="Z1344" s="661" t="str">
        <f t="shared" si="61"/>
        <v/>
      </c>
    </row>
    <row r="1345" spans="1:26" s="128" customFormat="1">
      <c r="A1345" s="655">
        <v>59015</v>
      </c>
      <c r="B1345" s="656" t="s">
        <v>33</v>
      </c>
      <c r="C1345" s="655" t="s">
        <v>2793</v>
      </c>
      <c r="D1345" s="656" t="s">
        <v>1655</v>
      </c>
      <c r="E1345" s="656" t="s">
        <v>2210</v>
      </c>
      <c r="F1345" s="655">
        <v>61012</v>
      </c>
      <c r="G1345" s="656" t="s">
        <v>81</v>
      </c>
      <c r="H1345" s="656" t="s">
        <v>1183</v>
      </c>
      <c r="I1345" s="656" t="s">
        <v>58</v>
      </c>
      <c r="J1345" s="655">
        <v>22</v>
      </c>
      <c r="K1345" s="655">
        <v>2</v>
      </c>
      <c r="L1345" s="656" t="s">
        <v>52</v>
      </c>
      <c r="M1345" s="656" t="s">
        <v>448</v>
      </c>
      <c r="N1345" s="656" t="s">
        <v>449</v>
      </c>
      <c r="O1345" s="656" t="s">
        <v>449</v>
      </c>
      <c r="P1345" s="656" t="s">
        <v>1176</v>
      </c>
      <c r="Q1345" s="657">
        <v>0</v>
      </c>
      <c r="R1345" s="657">
        <v>0</v>
      </c>
      <c r="S1345" s="657">
        <v>24069</v>
      </c>
      <c r="T1345" s="657">
        <v>24069</v>
      </c>
      <c r="U1345" s="657">
        <v>2722</v>
      </c>
      <c r="V1345" s="655">
        <v>2021</v>
      </c>
      <c r="W1345" s="659"/>
      <c r="X1345" s="660">
        <f t="shared" si="62"/>
        <v>8.8423952975753117</v>
      </c>
      <c r="Y1345" s="661" t="str">
        <f t="shared" si="60"/>
        <v/>
      </c>
      <c r="Z1345" s="661" t="str">
        <f t="shared" si="61"/>
        <v/>
      </c>
    </row>
    <row r="1346" spans="1:26" s="128" customFormat="1" ht="25">
      <c r="A1346" s="655">
        <v>59028</v>
      </c>
      <c r="B1346" s="656" t="s">
        <v>33</v>
      </c>
      <c r="C1346" s="655" t="s">
        <v>2793</v>
      </c>
      <c r="D1346" s="656" t="s">
        <v>1656</v>
      </c>
      <c r="E1346" s="656" t="s">
        <v>1657</v>
      </c>
      <c r="F1346" s="655">
        <v>58871</v>
      </c>
      <c r="G1346" s="656" t="s">
        <v>81</v>
      </c>
      <c r="H1346" s="656" t="s">
        <v>1183</v>
      </c>
      <c r="I1346" s="656" t="s">
        <v>58</v>
      </c>
      <c r="J1346" s="655">
        <v>22</v>
      </c>
      <c r="K1346" s="655">
        <v>2</v>
      </c>
      <c r="L1346" s="656" t="s">
        <v>52</v>
      </c>
      <c r="M1346" s="656" t="s">
        <v>448</v>
      </c>
      <c r="N1346" s="656" t="s">
        <v>449</v>
      </c>
      <c r="O1346" s="656" t="s">
        <v>449</v>
      </c>
      <c r="P1346" s="656" t="s">
        <v>1176</v>
      </c>
      <c r="Q1346" s="657">
        <v>0</v>
      </c>
      <c r="R1346" s="657">
        <v>0</v>
      </c>
      <c r="S1346" s="657">
        <v>18844</v>
      </c>
      <c r="T1346" s="657">
        <v>18844</v>
      </c>
      <c r="U1346" s="657">
        <v>2131</v>
      </c>
      <c r="V1346" s="655">
        <v>2021</v>
      </c>
      <c r="W1346" s="659"/>
      <c r="X1346" s="660">
        <f t="shared" si="62"/>
        <v>8.8427968090098545</v>
      </c>
      <c r="Y1346" s="661" t="str">
        <f t="shared" si="60"/>
        <v/>
      </c>
      <c r="Z1346" s="661" t="str">
        <f t="shared" si="61"/>
        <v/>
      </c>
    </row>
    <row r="1347" spans="1:26" s="128" customFormat="1" ht="25">
      <c r="A1347" s="655">
        <v>59029</v>
      </c>
      <c r="B1347" s="656" t="s">
        <v>33</v>
      </c>
      <c r="C1347" s="655" t="s">
        <v>2793</v>
      </c>
      <c r="D1347" s="656" t="s">
        <v>1658</v>
      </c>
      <c r="E1347" s="656" t="s">
        <v>1657</v>
      </c>
      <c r="F1347" s="655">
        <v>58871</v>
      </c>
      <c r="G1347" s="656" t="s">
        <v>81</v>
      </c>
      <c r="H1347" s="656" t="s">
        <v>1183</v>
      </c>
      <c r="I1347" s="656" t="s">
        <v>58</v>
      </c>
      <c r="J1347" s="655">
        <v>22</v>
      </c>
      <c r="K1347" s="655">
        <v>2</v>
      </c>
      <c r="L1347" s="656" t="s">
        <v>52</v>
      </c>
      <c r="M1347" s="656" t="s">
        <v>448</v>
      </c>
      <c r="N1347" s="656" t="s">
        <v>449</v>
      </c>
      <c r="O1347" s="656" t="s">
        <v>449</v>
      </c>
      <c r="P1347" s="656" t="s">
        <v>1176</v>
      </c>
      <c r="Q1347" s="657">
        <v>0</v>
      </c>
      <c r="R1347" s="657">
        <v>0</v>
      </c>
      <c r="S1347" s="657">
        <v>26432</v>
      </c>
      <c r="T1347" s="657">
        <v>26432</v>
      </c>
      <c r="U1347" s="657">
        <v>2989</v>
      </c>
      <c r="V1347" s="655">
        <v>2021</v>
      </c>
      <c r="W1347" s="659"/>
      <c r="X1347" s="660">
        <f t="shared" si="62"/>
        <v>8.8430913348946127</v>
      </c>
      <c r="Y1347" s="661" t="str">
        <f t="shared" si="60"/>
        <v/>
      </c>
      <c r="Z1347" s="661" t="str">
        <f t="shared" si="61"/>
        <v/>
      </c>
    </row>
    <row r="1348" spans="1:26" s="128" customFormat="1" ht="25">
      <c r="A1348" s="655">
        <v>59030</v>
      </c>
      <c r="B1348" s="656" t="s">
        <v>33</v>
      </c>
      <c r="C1348" s="655" t="s">
        <v>2793</v>
      </c>
      <c r="D1348" s="656" t="s">
        <v>1659</v>
      </c>
      <c r="E1348" s="656" t="s">
        <v>1657</v>
      </c>
      <c r="F1348" s="655">
        <v>58871</v>
      </c>
      <c r="G1348" s="656" t="s">
        <v>81</v>
      </c>
      <c r="H1348" s="656" t="s">
        <v>1183</v>
      </c>
      <c r="I1348" s="656" t="s">
        <v>58</v>
      </c>
      <c r="J1348" s="655">
        <v>22</v>
      </c>
      <c r="K1348" s="655">
        <v>2</v>
      </c>
      <c r="L1348" s="656" t="s">
        <v>52</v>
      </c>
      <c r="M1348" s="656" t="s">
        <v>448</v>
      </c>
      <c r="N1348" s="656" t="s">
        <v>449</v>
      </c>
      <c r="O1348" s="656" t="s">
        <v>449</v>
      </c>
      <c r="P1348" s="656" t="s">
        <v>1176</v>
      </c>
      <c r="Q1348" s="657">
        <v>0</v>
      </c>
      <c r="R1348" s="657">
        <v>0</v>
      </c>
      <c r="S1348" s="657">
        <v>41190</v>
      </c>
      <c r="T1348" s="657">
        <v>41190</v>
      </c>
      <c r="U1348" s="657">
        <v>4658</v>
      </c>
      <c r="V1348" s="655">
        <v>2021</v>
      </c>
      <c r="W1348" s="659"/>
      <c r="X1348" s="660">
        <f t="shared" si="62"/>
        <v>8.842851009016746</v>
      </c>
      <c r="Y1348" s="661" t="str">
        <f t="shared" si="60"/>
        <v/>
      </c>
      <c r="Z1348" s="661" t="str">
        <f t="shared" si="61"/>
        <v/>
      </c>
    </row>
    <row r="1349" spans="1:26" s="128" customFormat="1" ht="25">
      <c r="A1349" s="655">
        <v>59031</v>
      </c>
      <c r="B1349" s="656" t="s">
        <v>33</v>
      </c>
      <c r="C1349" s="655" t="s">
        <v>2793</v>
      </c>
      <c r="D1349" s="656" t="s">
        <v>1660</v>
      </c>
      <c r="E1349" s="656" t="s">
        <v>1657</v>
      </c>
      <c r="F1349" s="655">
        <v>58871</v>
      </c>
      <c r="G1349" s="656" t="s">
        <v>81</v>
      </c>
      <c r="H1349" s="656" t="s">
        <v>1183</v>
      </c>
      <c r="I1349" s="656" t="s">
        <v>58</v>
      </c>
      <c r="J1349" s="655">
        <v>22</v>
      </c>
      <c r="K1349" s="655">
        <v>2</v>
      </c>
      <c r="L1349" s="656" t="s">
        <v>52</v>
      </c>
      <c r="M1349" s="656" t="s">
        <v>448</v>
      </c>
      <c r="N1349" s="656" t="s">
        <v>449</v>
      </c>
      <c r="O1349" s="656" t="s">
        <v>449</v>
      </c>
      <c r="P1349" s="656" t="s">
        <v>1176</v>
      </c>
      <c r="Q1349" s="657">
        <v>0</v>
      </c>
      <c r="R1349" s="657">
        <v>0</v>
      </c>
      <c r="S1349" s="657">
        <v>19967</v>
      </c>
      <c r="T1349" s="657">
        <v>19967</v>
      </c>
      <c r="U1349" s="657">
        <v>2258</v>
      </c>
      <c r="V1349" s="655">
        <v>2021</v>
      </c>
      <c r="W1349" s="659"/>
      <c r="X1349" s="660">
        <f t="shared" si="62"/>
        <v>8.842781222320637</v>
      </c>
      <c r="Y1349" s="661" t="str">
        <f t="shared" si="60"/>
        <v/>
      </c>
      <c r="Z1349" s="661" t="str">
        <f t="shared" si="61"/>
        <v/>
      </c>
    </row>
    <row r="1350" spans="1:26" s="128" customFormat="1" ht="25">
      <c r="A1350" s="655">
        <v>59032</v>
      </c>
      <c r="B1350" s="656" t="s">
        <v>33</v>
      </c>
      <c r="C1350" s="655" t="s">
        <v>2793</v>
      </c>
      <c r="D1350" s="656" t="s">
        <v>1661</v>
      </c>
      <c r="E1350" s="656" t="s">
        <v>1657</v>
      </c>
      <c r="F1350" s="655">
        <v>58871</v>
      </c>
      <c r="G1350" s="656" t="s">
        <v>81</v>
      </c>
      <c r="H1350" s="656" t="s">
        <v>1183</v>
      </c>
      <c r="I1350" s="656" t="s">
        <v>58</v>
      </c>
      <c r="J1350" s="655">
        <v>22</v>
      </c>
      <c r="K1350" s="655">
        <v>2</v>
      </c>
      <c r="L1350" s="656" t="s">
        <v>52</v>
      </c>
      <c r="M1350" s="656" t="s">
        <v>448</v>
      </c>
      <c r="N1350" s="656" t="s">
        <v>449</v>
      </c>
      <c r="O1350" s="656" t="s">
        <v>449</v>
      </c>
      <c r="P1350" s="656" t="s">
        <v>1176</v>
      </c>
      <c r="Q1350" s="657">
        <v>0</v>
      </c>
      <c r="R1350" s="657">
        <v>0</v>
      </c>
      <c r="S1350" s="657">
        <v>31967</v>
      </c>
      <c r="T1350" s="657">
        <v>31967</v>
      </c>
      <c r="U1350" s="657">
        <v>3615</v>
      </c>
      <c r="V1350" s="655">
        <v>2021</v>
      </c>
      <c r="W1350" s="659"/>
      <c r="X1350" s="660">
        <f t="shared" si="62"/>
        <v>8.8428769017980642</v>
      </c>
      <c r="Y1350" s="661" t="str">
        <f t="shared" si="60"/>
        <v/>
      </c>
      <c r="Z1350" s="661" t="str">
        <f t="shared" si="61"/>
        <v/>
      </c>
    </row>
    <row r="1351" spans="1:26" s="128" customFormat="1" ht="25">
      <c r="A1351" s="655">
        <v>59033</v>
      </c>
      <c r="B1351" s="656" t="s">
        <v>33</v>
      </c>
      <c r="C1351" s="655" t="s">
        <v>2793</v>
      </c>
      <c r="D1351" s="656" t="s">
        <v>1662</v>
      </c>
      <c r="E1351" s="656" t="s">
        <v>1657</v>
      </c>
      <c r="F1351" s="655">
        <v>58871</v>
      </c>
      <c r="G1351" s="656" t="s">
        <v>81</v>
      </c>
      <c r="H1351" s="656" t="s">
        <v>1183</v>
      </c>
      <c r="I1351" s="656" t="s">
        <v>58</v>
      </c>
      <c r="J1351" s="655">
        <v>22</v>
      </c>
      <c r="K1351" s="655">
        <v>2</v>
      </c>
      <c r="L1351" s="656" t="s">
        <v>52</v>
      </c>
      <c r="M1351" s="656" t="s">
        <v>448</v>
      </c>
      <c r="N1351" s="656" t="s">
        <v>449</v>
      </c>
      <c r="O1351" s="656" t="s">
        <v>449</v>
      </c>
      <c r="P1351" s="656" t="s">
        <v>1176</v>
      </c>
      <c r="Q1351" s="657">
        <v>0</v>
      </c>
      <c r="R1351" s="657">
        <v>0</v>
      </c>
      <c r="S1351" s="657">
        <v>17244</v>
      </c>
      <c r="T1351" s="657">
        <v>17244</v>
      </c>
      <c r="U1351" s="657">
        <v>1950</v>
      </c>
      <c r="V1351" s="655">
        <v>2021</v>
      </c>
      <c r="W1351" s="659"/>
      <c r="X1351" s="660">
        <f t="shared" si="62"/>
        <v>8.8430769230769233</v>
      </c>
      <c r="Y1351" s="661" t="str">
        <f t="shared" ref="Y1351:Y1414" si="63">IF(AND($M1351=$Y$2,$N1351=$Y$3,NOT($Q1351=$R1351),NOT($U1351=0)),IF($K1351=5,$S1351/($U1351+(8/5)*$U1351),IF($K1351=7,$S1351/($U1351+(29/25)*$U1351),"")),"")</f>
        <v/>
      </c>
      <c r="Z1351" s="661" t="str">
        <f t="shared" ref="Z1351:Z1414" si="64">IF(AND($M1351=$Y$2,$N1351=$Y$4,NOT($Q1351=$R1351),NOT($U1351=0)),IF($K1351=5,$S1351/($U1351+(8/5)*$U1351),IF($K1351=7,$S1351/($U1351+(29/25)*$U1351),"")),"")</f>
        <v/>
      </c>
    </row>
    <row r="1352" spans="1:26" s="128" customFormat="1" ht="25" hidden="1">
      <c r="A1352" s="655">
        <v>59040</v>
      </c>
      <c r="B1352" s="656" t="s">
        <v>33</v>
      </c>
      <c r="C1352" s="655" t="s">
        <v>2793</v>
      </c>
      <c r="D1352" s="656" t="s">
        <v>1925</v>
      </c>
      <c r="E1352" s="656" t="s">
        <v>3104</v>
      </c>
      <c r="F1352" s="655">
        <v>57280</v>
      </c>
      <c r="G1352" s="656" t="s">
        <v>89</v>
      </c>
      <c r="H1352" s="656" t="s">
        <v>1183</v>
      </c>
      <c r="I1352" s="656" t="s">
        <v>58</v>
      </c>
      <c r="J1352" s="655">
        <v>22</v>
      </c>
      <c r="K1352" s="655">
        <v>2</v>
      </c>
      <c r="L1352" s="656" t="s">
        <v>52</v>
      </c>
      <c r="M1352" s="656" t="s">
        <v>35</v>
      </c>
      <c r="N1352" s="656" t="s">
        <v>36</v>
      </c>
      <c r="O1352" s="656" t="s">
        <v>37</v>
      </c>
      <c r="P1352" s="656" t="s">
        <v>1176</v>
      </c>
      <c r="Q1352" s="657">
        <v>0</v>
      </c>
      <c r="R1352" s="657">
        <v>0</v>
      </c>
      <c r="S1352" s="657">
        <v>20128</v>
      </c>
      <c r="T1352" s="657">
        <v>20128</v>
      </c>
      <c r="U1352" s="657">
        <v>2276</v>
      </c>
      <c r="V1352" s="655">
        <v>2021</v>
      </c>
      <c r="W1352" s="659"/>
      <c r="X1352" s="660">
        <f t="shared" ref="X1352:X1415" si="65">IF(OR(K1352&gt;3,T1352=0,NOT(U1352&gt;0)),"",T1352/U1352)</f>
        <v>8.8435852372583472</v>
      </c>
      <c r="Y1352" s="661" t="str">
        <f t="shared" si="63"/>
        <v/>
      </c>
      <c r="Z1352" s="661" t="str">
        <f t="shared" si="64"/>
        <v/>
      </c>
    </row>
    <row r="1353" spans="1:26" s="128" customFormat="1" ht="25" hidden="1">
      <c r="A1353" s="655">
        <v>59043</v>
      </c>
      <c r="B1353" s="656" t="s">
        <v>33</v>
      </c>
      <c r="C1353" s="655" t="s">
        <v>2793</v>
      </c>
      <c r="D1353" s="656" t="s">
        <v>1663</v>
      </c>
      <c r="E1353" s="656" t="s">
        <v>1989</v>
      </c>
      <c r="F1353" s="655">
        <v>60281</v>
      </c>
      <c r="G1353" s="656" t="s">
        <v>131</v>
      </c>
      <c r="H1353" s="656" t="s">
        <v>1183</v>
      </c>
      <c r="I1353" s="656" t="s">
        <v>58</v>
      </c>
      <c r="J1353" s="655">
        <v>22</v>
      </c>
      <c r="K1353" s="655">
        <v>2</v>
      </c>
      <c r="L1353" s="656" t="s">
        <v>52</v>
      </c>
      <c r="M1353" s="656" t="s">
        <v>448</v>
      </c>
      <c r="N1353" s="656" t="s">
        <v>449</v>
      </c>
      <c r="O1353" s="656" t="s">
        <v>449</v>
      </c>
      <c r="P1353" s="656" t="s">
        <v>1176</v>
      </c>
      <c r="Q1353" s="657">
        <v>0</v>
      </c>
      <c r="R1353" s="657">
        <v>0</v>
      </c>
      <c r="S1353" s="657">
        <v>23780</v>
      </c>
      <c r="T1353" s="657">
        <v>23780</v>
      </c>
      <c r="U1353" s="657">
        <v>2689</v>
      </c>
      <c r="V1353" s="655">
        <v>2021</v>
      </c>
      <c r="W1353" s="659"/>
      <c r="X1353" s="660">
        <f t="shared" si="65"/>
        <v>8.8434362216437332</v>
      </c>
      <c r="Y1353" s="661" t="str">
        <f t="shared" si="63"/>
        <v/>
      </c>
      <c r="Z1353" s="661" t="str">
        <f t="shared" si="64"/>
        <v/>
      </c>
    </row>
    <row r="1354" spans="1:26" s="128" customFormat="1">
      <c r="A1354" s="655">
        <v>59046</v>
      </c>
      <c r="B1354" s="656" t="s">
        <v>33</v>
      </c>
      <c r="C1354" s="655" t="s">
        <v>2793</v>
      </c>
      <c r="D1354" s="656" t="s">
        <v>1721</v>
      </c>
      <c r="E1354" s="656" t="s">
        <v>1765</v>
      </c>
      <c r="F1354" s="655">
        <v>59254</v>
      </c>
      <c r="G1354" s="656" t="s">
        <v>81</v>
      </c>
      <c r="H1354" s="656" t="s">
        <v>1183</v>
      </c>
      <c r="I1354" s="656" t="s">
        <v>58</v>
      </c>
      <c r="J1354" s="655">
        <v>22</v>
      </c>
      <c r="K1354" s="655">
        <v>2</v>
      </c>
      <c r="L1354" s="656" t="s">
        <v>52</v>
      </c>
      <c r="M1354" s="656" t="s">
        <v>448</v>
      </c>
      <c r="N1354" s="656" t="s">
        <v>449</v>
      </c>
      <c r="O1354" s="656" t="s">
        <v>449</v>
      </c>
      <c r="P1354" s="656" t="s">
        <v>1176</v>
      </c>
      <c r="Q1354" s="657">
        <v>0</v>
      </c>
      <c r="R1354" s="657">
        <v>0</v>
      </c>
      <c r="S1354" s="657">
        <v>34859</v>
      </c>
      <c r="T1354" s="657">
        <v>34859</v>
      </c>
      <c r="U1354" s="657">
        <v>3942</v>
      </c>
      <c r="V1354" s="655">
        <v>2021</v>
      </c>
      <c r="W1354" s="659"/>
      <c r="X1354" s="660">
        <f t="shared" si="65"/>
        <v>8.8429731100963984</v>
      </c>
      <c r="Y1354" s="661" t="str">
        <f t="shared" si="63"/>
        <v/>
      </c>
      <c r="Z1354" s="661" t="str">
        <f t="shared" si="64"/>
        <v/>
      </c>
    </row>
    <row r="1355" spans="1:26" s="128" customFormat="1" ht="25" hidden="1">
      <c r="A1355" s="655">
        <v>59049</v>
      </c>
      <c r="B1355" s="656" t="s">
        <v>33</v>
      </c>
      <c r="C1355" s="655" t="s">
        <v>2793</v>
      </c>
      <c r="D1355" s="656" t="s">
        <v>1722</v>
      </c>
      <c r="E1355" s="656" t="s">
        <v>1723</v>
      </c>
      <c r="F1355" s="655">
        <v>58883</v>
      </c>
      <c r="G1355" s="656" t="s">
        <v>89</v>
      </c>
      <c r="H1355" s="656" t="s">
        <v>1183</v>
      </c>
      <c r="I1355" s="656" t="s">
        <v>58</v>
      </c>
      <c r="J1355" s="655">
        <v>22</v>
      </c>
      <c r="K1355" s="655">
        <v>2</v>
      </c>
      <c r="L1355" s="656" t="s">
        <v>52</v>
      </c>
      <c r="M1355" s="656" t="s">
        <v>448</v>
      </c>
      <c r="N1355" s="656" t="s">
        <v>449</v>
      </c>
      <c r="O1355" s="656" t="s">
        <v>449</v>
      </c>
      <c r="P1355" s="656" t="s">
        <v>1176</v>
      </c>
      <c r="Q1355" s="657">
        <v>0</v>
      </c>
      <c r="R1355" s="657">
        <v>0</v>
      </c>
      <c r="S1355" s="657">
        <v>29509</v>
      </c>
      <c r="T1355" s="657">
        <v>29509</v>
      </c>
      <c r="U1355" s="657">
        <v>3337</v>
      </c>
      <c r="V1355" s="655">
        <v>2021</v>
      </c>
      <c r="W1355" s="659"/>
      <c r="X1355" s="660">
        <f t="shared" si="65"/>
        <v>8.8429727299970029</v>
      </c>
      <c r="Y1355" s="661" t="str">
        <f t="shared" si="63"/>
        <v/>
      </c>
      <c r="Z1355" s="661" t="str">
        <f t="shared" si="64"/>
        <v/>
      </c>
    </row>
    <row r="1356" spans="1:26" s="128" customFormat="1" ht="25">
      <c r="A1356" s="655">
        <v>59060</v>
      </c>
      <c r="B1356" s="656" t="s">
        <v>33</v>
      </c>
      <c r="C1356" s="655" t="s">
        <v>2793</v>
      </c>
      <c r="D1356" s="656" t="s">
        <v>1664</v>
      </c>
      <c r="E1356" s="656" t="s">
        <v>1665</v>
      </c>
      <c r="F1356" s="655">
        <v>58888</v>
      </c>
      <c r="G1356" s="656" t="s">
        <v>81</v>
      </c>
      <c r="H1356" s="656" t="s">
        <v>1183</v>
      </c>
      <c r="I1356" s="656" t="s">
        <v>58</v>
      </c>
      <c r="J1356" s="655">
        <v>22</v>
      </c>
      <c r="K1356" s="655">
        <v>2</v>
      </c>
      <c r="L1356" s="656" t="s">
        <v>52</v>
      </c>
      <c r="M1356" s="656" t="s">
        <v>448</v>
      </c>
      <c r="N1356" s="656" t="s">
        <v>449</v>
      </c>
      <c r="O1356" s="656" t="s">
        <v>449</v>
      </c>
      <c r="P1356" s="656" t="s">
        <v>1176</v>
      </c>
      <c r="Q1356" s="657">
        <v>0</v>
      </c>
      <c r="R1356" s="657">
        <v>0</v>
      </c>
      <c r="S1356" s="657">
        <v>13441</v>
      </c>
      <c r="T1356" s="657">
        <v>13441</v>
      </c>
      <c r="U1356" s="657">
        <v>1520</v>
      </c>
      <c r="V1356" s="655">
        <v>2021</v>
      </c>
      <c r="W1356" s="659"/>
      <c r="X1356" s="660">
        <f t="shared" si="65"/>
        <v>8.842763157894737</v>
      </c>
      <c r="Y1356" s="661" t="str">
        <f t="shared" si="63"/>
        <v/>
      </c>
      <c r="Z1356" s="661" t="str">
        <f t="shared" si="64"/>
        <v/>
      </c>
    </row>
    <row r="1357" spans="1:26" s="128" customFormat="1" hidden="1">
      <c r="A1357" s="655">
        <v>59070</v>
      </c>
      <c r="B1357" s="656" t="s">
        <v>33</v>
      </c>
      <c r="C1357" s="655" t="s">
        <v>2793</v>
      </c>
      <c r="D1357" s="656" t="s">
        <v>1926</v>
      </c>
      <c r="E1357" s="656" t="s">
        <v>1927</v>
      </c>
      <c r="F1357" s="655">
        <v>58891</v>
      </c>
      <c r="G1357" s="656" t="s">
        <v>96</v>
      </c>
      <c r="H1357" s="656" t="s">
        <v>1183</v>
      </c>
      <c r="I1357" s="656" t="s">
        <v>58</v>
      </c>
      <c r="J1357" s="655">
        <v>22</v>
      </c>
      <c r="K1357" s="655">
        <v>2</v>
      </c>
      <c r="L1357" s="656" t="s">
        <v>52</v>
      </c>
      <c r="M1357" s="656" t="s">
        <v>71</v>
      </c>
      <c r="N1357" s="656" t="s">
        <v>72</v>
      </c>
      <c r="O1357" s="656" t="s">
        <v>72</v>
      </c>
      <c r="P1357" s="656" t="s">
        <v>1176</v>
      </c>
      <c r="Q1357" s="657">
        <v>0</v>
      </c>
      <c r="R1357" s="657">
        <v>0</v>
      </c>
      <c r="S1357" s="657">
        <v>218741</v>
      </c>
      <c r="T1357" s="657">
        <v>218741</v>
      </c>
      <c r="U1357" s="657">
        <v>24736</v>
      </c>
      <c r="V1357" s="655">
        <v>2021</v>
      </c>
      <c r="W1357" s="659"/>
      <c r="X1357" s="660">
        <f t="shared" si="65"/>
        <v>8.8430223156532985</v>
      </c>
      <c r="Y1357" s="661" t="str">
        <f t="shared" si="63"/>
        <v/>
      </c>
      <c r="Z1357" s="661" t="str">
        <f t="shared" si="64"/>
        <v/>
      </c>
    </row>
    <row r="1358" spans="1:26" s="128" customFormat="1">
      <c r="A1358" s="655">
        <v>59075</v>
      </c>
      <c r="B1358" s="656" t="s">
        <v>33</v>
      </c>
      <c r="C1358" s="655" t="s">
        <v>2793</v>
      </c>
      <c r="D1358" s="656" t="s">
        <v>1724</v>
      </c>
      <c r="E1358" s="656" t="s">
        <v>1725</v>
      </c>
      <c r="F1358" s="655">
        <v>58894</v>
      </c>
      <c r="G1358" s="656" t="s">
        <v>81</v>
      </c>
      <c r="H1358" s="656" t="s">
        <v>1183</v>
      </c>
      <c r="I1358" s="656" t="s">
        <v>58</v>
      </c>
      <c r="J1358" s="655">
        <v>22</v>
      </c>
      <c r="K1358" s="655">
        <v>2</v>
      </c>
      <c r="L1358" s="656" t="s">
        <v>52</v>
      </c>
      <c r="M1358" s="656" t="s">
        <v>448</v>
      </c>
      <c r="N1358" s="656" t="s">
        <v>449</v>
      </c>
      <c r="O1358" s="656" t="s">
        <v>449</v>
      </c>
      <c r="P1358" s="656" t="s">
        <v>1176</v>
      </c>
      <c r="Q1358" s="657">
        <v>0</v>
      </c>
      <c r="R1358" s="657">
        <v>0</v>
      </c>
      <c r="S1358" s="657">
        <v>12759</v>
      </c>
      <c r="T1358" s="657">
        <v>12759</v>
      </c>
      <c r="U1358" s="657">
        <v>1443</v>
      </c>
      <c r="V1358" s="655">
        <v>2021</v>
      </c>
      <c r="W1358" s="659"/>
      <c r="X1358" s="660">
        <f t="shared" si="65"/>
        <v>8.8419958419958427</v>
      </c>
      <c r="Y1358" s="661" t="str">
        <f t="shared" si="63"/>
        <v/>
      </c>
      <c r="Z1358" s="661" t="str">
        <f t="shared" si="64"/>
        <v/>
      </c>
    </row>
    <row r="1359" spans="1:26" s="128" customFormat="1">
      <c r="A1359" s="655">
        <v>59077</v>
      </c>
      <c r="B1359" s="656" t="s">
        <v>33</v>
      </c>
      <c r="C1359" s="655" t="s">
        <v>2793</v>
      </c>
      <c r="D1359" s="656" t="s">
        <v>1726</v>
      </c>
      <c r="E1359" s="656" t="s">
        <v>1725</v>
      </c>
      <c r="F1359" s="655">
        <v>58894</v>
      </c>
      <c r="G1359" s="656" t="s">
        <v>81</v>
      </c>
      <c r="H1359" s="656" t="s">
        <v>1183</v>
      </c>
      <c r="I1359" s="656" t="s">
        <v>58</v>
      </c>
      <c r="J1359" s="655">
        <v>22</v>
      </c>
      <c r="K1359" s="655">
        <v>2</v>
      </c>
      <c r="L1359" s="656" t="s">
        <v>52</v>
      </c>
      <c r="M1359" s="656" t="s">
        <v>448</v>
      </c>
      <c r="N1359" s="656" t="s">
        <v>449</v>
      </c>
      <c r="O1359" s="656" t="s">
        <v>449</v>
      </c>
      <c r="P1359" s="656" t="s">
        <v>1176</v>
      </c>
      <c r="Q1359" s="657">
        <v>0</v>
      </c>
      <c r="R1359" s="657">
        <v>0</v>
      </c>
      <c r="S1359" s="657">
        <v>19508</v>
      </c>
      <c r="T1359" s="657">
        <v>19508</v>
      </c>
      <c r="U1359" s="657">
        <v>2206</v>
      </c>
      <c r="V1359" s="655">
        <v>2021</v>
      </c>
      <c r="W1359" s="659"/>
      <c r="X1359" s="660">
        <f t="shared" si="65"/>
        <v>8.8431550317316407</v>
      </c>
      <c r="Y1359" s="661" t="str">
        <f t="shared" si="63"/>
        <v/>
      </c>
      <c r="Z1359" s="661" t="str">
        <f t="shared" si="64"/>
        <v/>
      </c>
    </row>
    <row r="1360" spans="1:26" s="128" customFormat="1">
      <c r="A1360" s="655">
        <v>59078</v>
      </c>
      <c r="B1360" s="656" t="s">
        <v>33</v>
      </c>
      <c r="C1360" s="655" t="s">
        <v>2793</v>
      </c>
      <c r="D1360" s="656" t="s">
        <v>1727</v>
      </c>
      <c r="E1360" s="656" t="s">
        <v>1725</v>
      </c>
      <c r="F1360" s="655">
        <v>58894</v>
      </c>
      <c r="G1360" s="656" t="s">
        <v>81</v>
      </c>
      <c r="H1360" s="656" t="s">
        <v>1183</v>
      </c>
      <c r="I1360" s="656" t="s">
        <v>58</v>
      </c>
      <c r="J1360" s="655">
        <v>22</v>
      </c>
      <c r="K1360" s="655">
        <v>2</v>
      </c>
      <c r="L1360" s="656" t="s">
        <v>52</v>
      </c>
      <c r="M1360" s="656" t="s">
        <v>448</v>
      </c>
      <c r="N1360" s="656" t="s">
        <v>449</v>
      </c>
      <c r="O1360" s="656" t="s">
        <v>449</v>
      </c>
      <c r="P1360" s="656" t="s">
        <v>1176</v>
      </c>
      <c r="Q1360" s="657">
        <v>0</v>
      </c>
      <c r="R1360" s="657">
        <v>0</v>
      </c>
      <c r="S1360" s="657">
        <v>47975</v>
      </c>
      <c r="T1360" s="657">
        <v>47975</v>
      </c>
      <c r="U1360" s="657">
        <v>5425</v>
      </c>
      <c r="V1360" s="655">
        <v>2021</v>
      </c>
      <c r="W1360" s="659"/>
      <c r="X1360" s="660">
        <f t="shared" si="65"/>
        <v>8.8433179723502295</v>
      </c>
      <c r="Y1360" s="661" t="str">
        <f t="shared" si="63"/>
        <v/>
      </c>
      <c r="Z1360" s="661" t="str">
        <f t="shared" si="64"/>
        <v/>
      </c>
    </row>
    <row r="1361" spans="1:26" s="128" customFormat="1">
      <c r="A1361" s="655">
        <v>59079</v>
      </c>
      <c r="B1361" s="656" t="s">
        <v>33</v>
      </c>
      <c r="C1361" s="655" t="s">
        <v>2793</v>
      </c>
      <c r="D1361" s="656" t="s">
        <v>1728</v>
      </c>
      <c r="E1361" s="656" t="s">
        <v>1725</v>
      </c>
      <c r="F1361" s="655">
        <v>58894</v>
      </c>
      <c r="G1361" s="656" t="s">
        <v>81</v>
      </c>
      <c r="H1361" s="656" t="s">
        <v>1183</v>
      </c>
      <c r="I1361" s="656" t="s">
        <v>58</v>
      </c>
      <c r="J1361" s="655">
        <v>22</v>
      </c>
      <c r="K1361" s="655">
        <v>2</v>
      </c>
      <c r="L1361" s="656" t="s">
        <v>52</v>
      </c>
      <c r="M1361" s="656" t="s">
        <v>448</v>
      </c>
      <c r="N1361" s="656" t="s">
        <v>449</v>
      </c>
      <c r="O1361" s="656" t="s">
        <v>449</v>
      </c>
      <c r="P1361" s="656" t="s">
        <v>1176</v>
      </c>
      <c r="Q1361" s="657">
        <v>0</v>
      </c>
      <c r="R1361" s="657">
        <v>0</v>
      </c>
      <c r="S1361" s="657">
        <v>12601</v>
      </c>
      <c r="T1361" s="657">
        <v>12601</v>
      </c>
      <c r="U1361" s="657">
        <v>1425</v>
      </c>
      <c r="V1361" s="655">
        <v>2021</v>
      </c>
      <c r="W1361" s="659"/>
      <c r="X1361" s="660">
        <f t="shared" si="65"/>
        <v>8.8428070175438602</v>
      </c>
      <c r="Y1361" s="661" t="str">
        <f t="shared" si="63"/>
        <v/>
      </c>
      <c r="Z1361" s="661" t="str">
        <f t="shared" si="64"/>
        <v/>
      </c>
    </row>
    <row r="1362" spans="1:26" s="128" customFormat="1">
      <c r="A1362" s="655">
        <v>59080</v>
      </c>
      <c r="B1362" s="656" t="s">
        <v>33</v>
      </c>
      <c r="C1362" s="655" t="s">
        <v>2793</v>
      </c>
      <c r="D1362" s="656" t="s">
        <v>1729</v>
      </c>
      <c r="E1362" s="656" t="s">
        <v>1725</v>
      </c>
      <c r="F1362" s="655">
        <v>58894</v>
      </c>
      <c r="G1362" s="656" t="s">
        <v>81</v>
      </c>
      <c r="H1362" s="656" t="s">
        <v>1183</v>
      </c>
      <c r="I1362" s="656" t="s">
        <v>58</v>
      </c>
      <c r="J1362" s="655">
        <v>22</v>
      </c>
      <c r="K1362" s="655">
        <v>2</v>
      </c>
      <c r="L1362" s="656" t="s">
        <v>52</v>
      </c>
      <c r="M1362" s="656" t="s">
        <v>448</v>
      </c>
      <c r="N1362" s="656" t="s">
        <v>449</v>
      </c>
      <c r="O1362" s="656" t="s">
        <v>449</v>
      </c>
      <c r="P1362" s="656" t="s">
        <v>1176</v>
      </c>
      <c r="Q1362" s="657">
        <v>0</v>
      </c>
      <c r="R1362" s="657">
        <v>0</v>
      </c>
      <c r="S1362" s="657">
        <v>14042</v>
      </c>
      <c r="T1362" s="657">
        <v>14042</v>
      </c>
      <c r="U1362" s="657">
        <v>1588</v>
      </c>
      <c r="V1362" s="655">
        <v>2021</v>
      </c>
      <c r="W1362" s="659"/>
      <c r="X1362" s="660">
        <f t="shared" si="65"/>
        <v>8.8425692695214106</v>
      </c>
      <c r="Y1362" s="661" t="str">
        <f t="shared" si="63"/>
        <v/>
      </c>
      <c r="Z1362" s="661" t="str">
        <f t="shared" si="64"/>
        <v/>
      </c>
    </row>
    <row r="1363" spans="1:26" s="128" customFormat="1">
      <c r="A1363" s="655">
        <v>59081</v>
      </c>
      <c r="B1363" s="656" t="s">
        <v>33</v>
      </c>
      <c r="C1363" s="655" t="s">
        <v>2793</v>
      </c>
      <c r="D1363" s="656" t="s">
        <v>1730</v>
      </c>
      <c r="E1363" s="656" t="s">
        <v>1725</v>
      </c>
      <c r="F1363" s="655">
        <v>58894</v>
      </c>
      <c r="G1363" s="656" t="s">
        <v>81</v>
      </c>
      <c r="H1363" s="656" t="s">
        <v>1183</v>
      </c>
      <c r="I1363" s="656" t="s">
        <v>58</v>
      </c>
      <c r="J1363" s="655">
        <v>22</v>
      </c>
      <c r="K1363" s="655">
        <v>2</v>
      </c>
      <c r="L1363" s="656" t="s">
        <v>52</v>
      </c>
      <c r="M1363" s="656" t="s">
        <v>448</v>
      </c>
      <c r="N1363" s="656" t="s">
        <v>449</v>
      </c>
      <c r="O1363" s="656" t="s">
        <v>449</v>
      </c>
      <c r="P1363" s="656" t="s">
        <v>1176</v>
      </c>
      <c r="Q1363" s="657">
        <v>0</v>
      </c>
      <c r="R1363" s="657">
        <v>0</v>
      </c>
      <c r="S1363" s="657">
        <v>44187</v>
      </c>
      <c r="T1363" s="657">
        <v>44187</v>
      </c>
      <c r="U1363" s="657">
        <v>4997</v>
      </c>
      <c r="V1363" s="655">
        <v>2021</v>
      </c>
      <c r="W1363" s="659"/>
      <c r="X1363" s="660">
        <f t="shared" si="65"/>
        <v>8.8427056233740249</v>
      </c>
      <c r="Y1363" s="661" t="str">
        <f t="shared" si="63"/>
        <v/>
      </c>
      <c r="Z1363" s="661" t="str">
        <f t="shared" si="64"/>
        <v/>
      </c>
    </row>
    <row r="1364" spans="1:26" s="128" customFormat="1">
      <c r="A1364" s="655">
        <v>59082</v>
      </c>
      <c r="B1364" s="656" t="s">
        <v>33</v>
      </c>
      <c r="C1364" s="655" t="s">
        <v>2793</v>
      </c>
      <c r="D1364" s="656" t="s">
        <v>1731</v>
      </c>
      <c r="E1364" s="656" t="s">
        <v>1725</v>
      </c>
      <c r="F1364" s="655">
        <v>58894</v>
      </c>
      <c r="G1364" s="656" t="s">
        <v>81</v>
      </c>
      <c r="H1364" s="656" t="s">
        <v>1183</v>
      </c>
      <c r="I1364" s="656" t="s">
        <v>58</v>
      </c>
      <c r="J1364" s="655">
        <v>22</v>
      </c>
      <c r="K1364" s="655">
        <v>2</v>
      </c>
      <c r="L1364" s="656" t="s">
        <v>52</v>
      </c>
      <c r="M1364" s="656" t="s">
        <v>448</v>
      </c>
      <c r="N1364" s="656" t="s">
        <v>449</v>
      </c>
      <c r="O1364" s="656" t="s">
        <v>449</v>
      </c>
      <c r="P1364" s="656" t="s">
        <v>1176</v>
      </c>
      <c r="Q1364" s="657">
        <v>0</v>
      </c>
      <c r="R1364" s="657">
        <v>0</v>
      </c>
      <c r="S1364" s="657">
        <v>62476</v>
      </c>
      <c r="T1364" s="657">
        <v>62476</v>
      </c>
      <c r="U1364" s="657">
        <v>7065</v>
      </c>
      <c r="V1364" s="655">
        <v>2021</v>
      </c>
      <c r="W1364" s="659"/>
      <c r="X1364" s="660">
        <f t="shared" si="65"/>
        <v>8.8430290162774234</v>
      </c>
      <c r="Y1364" s="661" t="str">
        <f t="shared" si="63"/>
        <v/>
      </c>
      <c r="Z1364" s="661" t="str">
        <f t="shared" si="64"/>
        <v/>
      </c>
    </row>
    <row r="1365" spans="1:26" s="128" customFormat="1" ht="25">
      <c r="A1365" s="655">
        <v>59085</v>
      </c>
      <c r="B1365" s="656" t="s">
        <v>33</v>
      </c>
      <c r="C1365" s="655" t="s">
        <v>2793</v>
      </c>
      <c r="D1365" s="656" t="s">
        <v>1732</v>
      </c>
      <c r="E1365" s="656" t="s">
        <v>1733</v>
      </c>
      <c r="F1365" s="655">
        <v>57170</v>
      </c>
      <c r="G1365" s="656" t="s">
        <v>81</v>
      </c>
      <c r="H1365" s="656" t="s">
        <v>1183</v>
      </c>
      <c r="I1365" s="656" t="s">
        <v>58</v>
      </c>
      <c r="J1365" s="655">
        <v>22</v>
      </c>
      <c r="K1365" s="655">
        <v>2</v>
      </c>
      <c r="L1365" s="656" t="s">
        <v>52</v>
      </c>
      <c r="M1365" s="656" t="s">
        <v>448</v>
      </c>
      <c r="N1365" s="656" t="s">
        <v>449</v>
      </c>
      <c r="O1365" s="656" t="s">
        <v>449</v>
      </c>
      <c r="P1365" s="656" t="s">
        <v>1176</v>
      </c>
      <c r="Q1365" s="657">
        <v>0</v>
      </c>
      <c r="R1365" s="657">
        <v>0</v>
      </c>
      <c r="S1365" s="657">
        <v>69338</v>
      </c>
      <c r="T1365" s="657">
        <v>69338</v>
      </c>
      <c r="U1365" s="657">
        <v>7841</v>
      </c>
      <c r="V1365" s="655">
        <v>2021</v>
      </c>
      <c r="W1365" s="659"/>
      <c r="X1365" s="660">
        <f t="shared" si="65"/>
        <v>8.8430047187858687</v>
      </c>
      <c r="Y1365" s="661" t="str">
        <f t="shared" si="63"/>
        <v/>
      </c>
      <c r="Z1365" s="661" t="str">
        <f t="shared" si="64"/>
        <v/>
      </c>
    </row>
    <row r="1366" spans="1:26" s="128" customFormat="1" ht="25">
      <c r="A1366" s="655">
        <v>59090</v>
      </c>
      <c r="B1366" s="656" t="s">
        <v>33</v>
      </c>
      <c r="C1366" s="655" t="s">
        <v>2793</v>
      </c>
      <c r="D1366" s="656" t="s">
        <v>2332</v>
      </c>
      <c r="E1366" s="656" t="s">
        <v>3372</v>
      </c>
      <c r="F1366" s="655">
        <v>61944</v>
      </c>
      <c r="G1366" s="656" t="s">
        <v>81</v>
      </c>
      <c r="H1366" s="656" t="s">
        <v>1183</v>
      </c>
      <c r="I1366" s="656" t="s">
        <v>58</v>
      </c>
      <c r="J1366" s="655">
        <v>22</v>
      </c>
      <c r="K1366" s="655">
        <v>2</v>
      </c>
      <c r="L1366" s="656" t="s">
        <v>52</v>
      </c>
      <c r="M1366" s="656" t="s">
        <v>448</v>
      </c>
      <c r="N1366" s="656" t="s">
        <v>449</v>
      </c>
      <c r="O1366" s="656" t="s">
        <v>449</v>
      </c>
      <c r="P1366" s="656" t="s">
        <v>1176</v>
      </c>
      <c r="Q1366" s="657">
        <v>0</v>
      </c>
      <c r="R1366" s="657">
        <v>0</v>
      </c>
      <c r="S1366" s="657">
        <v>21816</v>
      </c>
      <c r="T1366" s="657">
        <v>21816</v>
      </c>
      <c r="U1366" s="657">
        <v>2467</v>
      </c>
      <c r="V1366" s="655">
        <v>2021</v>
      </c>
      <c r="W1366" s="659"/>
      <c r="X1366" s="660">
        <f t="shared" si="65"/>
        <v>8.8431293068504253</v>
      </c>
      <c r="Y1366" s="661" t="str">
        <f t="shared" si="63"/>
        <v/>
      </c>
      <c r="Z1366" s="661" t="str">
        <f t="shared" si="64"/>
        <v/>
      </c>
    </row>
    <row r="1367" spans="1:26" s="128" customFormat="1">
      <c r="A1367" s="655">
        <v>59121</v>
      </c>
      <c r="B1367" s="656" t="s">
        <v>33</v>
      </c>
      <c r="C1367" s="655" t="s">
        <v>2793</v>
      </c>
      <c r="D1367" s="656" t="s">
        <v>1666</v>
      </c>
      <c r="E1367" s="656" t="s">
        <v>1920</v>
      </c>
      <c r="F1367" s="655">
        <v>59622</v>
      </c>
      <c r="G1367" s="656" t="s">
        <v>81</v>
      </c>
      <c r="H1367" s="656" t="s">
        <v>1183</v>
      </c>
      <c r="I1367" s="656" t="s">
        <v>58</v>
      </c>
      <c r="J1367" s="655">
        <v>22</v>
      </c>
      <c r="K1367" s="655">
        <v>2</v>
      </c>
      <c r="L1367" s="656" t="s">
        <v>52</v>
      </c>
      <c r="M1367" s="656" t="s">
        <v>448</v>
      </c>
      <c r="N1367" s="656" t="s">
        <v>449</v>
      </c>
      <c r="O1367" s="656" t="s">
        <v>449</v>
      </c>
      <c r="P1367" s="656" t="s">
        <v>1176</v>
      </c>
      <c r="Q1367" s="657">
        <v>0</v>
      </c>
      <c r="R1367" s="657">
        <v>0</v>
      </c>
      <c r="S1367" s="657">
        <v>22258</v>
      </c>
      <c r="T1367" s="657">
        <v>22258</v>
      </c>
      <c r="U1367" s="657">
        <v>2517</v>
      </c>
      <c r="V1367" s="655">
        <v>2021</v>
      </c>
      <c r="W1367" s="659"/>
      <c r="X1367" s="660">
        <f t="shared" si="65"/>
        <v>8.8430671434247117</v>
      </c>
      <c r="Y1367" s="661" t="str">
        <f t="shared" si="63"/>
        <v/>
      </c>
      <c r="Z1367" s="661" t="str">
        <f t="shared" si="64"/>
        <v/>
      </c>
    </row>
    <row r="1368" spans="1:26" s="128" customFormat="1">
      <c r="A1368" s="655">
        <v>59128</v>
      </c>
      <c r="B1368" s="656" t="s">
        <v>33</v>
      </c>
      <c r="C1368" s="655" t="s">
        <v>2793</v>
      </c>
      <c r="D1368" s="656" t="s">
        <v>1667</v>
      </c>
      <c r="E1368" s="656" t="s">
        <v>1920</v>
      </c>
      <c r="F1368" s="655">
        <v>59622</v>
      </c>
      <c r="G1368" s="656" t="s">
        <v>81</v>
      </c>
      <c r="H1368" s="656" t="s">
        <v>1183</v>
      </c>
      <c r="I1368" s="656" t="s">
        <v>58</v>
      </c>
      <c r="J1368" s="655">
        <v>22</v>
      </c>
      <c r="K1368" s="655">
        <v>2</v>
      </c>
      <c r="L1368" s="656" t="s">
        <v>52</v>
      </c>
      <c r="M1368" s="656" t="s">
        <v>448</v>
      </c>
      <c r="N1368" s="656" t="s">
        <v>449</v>
      </c>
      <c r="O1368" s="656" t="s">
        <v>449</v>
      </c>
      <c r="P1368" s="656" t="s">
        <v>1176</v>
      </c>
      <c r="Q1368" s="657">
        <v>0</v>
      </c>
      <c r="R1368" s="657">
        <v>0</v>
      </c>
      <c r="S1368" s="657">
        <v>37442</v>
      </c>
      <c r="T1368" s="657">
        <v>37442</v>
      </c>
      <c r="U1368" s="657">
        <v>4234</v>
      </c>
      <c r="V1368" s="655">
        <v>2021</v>
      </c>
      <c r="W1368" s="659"/>
      <c r="X1368" s="660">
        <f t="shared" si="65"/>
        <v>8.84317430325933</v>
      </c>
      <c r="Y1368" s="661" t="str">
        <f t="shared" si="63"/>
        <v/>
      </c>
      <c r="Z1368" s="661" t="str">
        <f t="shared" si="64"/>
        <v/>
      </c>
    </row>
    <row r="1369" spans="1:26" s="128" customFormat="1">
      <c r="A1369" s="655">
        <v>59131</v>
      </c>
      <c r="B1369" s="656" t="s">
        <v>33</v>
      </c>
      <c r="C1369" s="655" t="s">
        <v>2793</v>
      </c>
      <c r="D1369" s="656" t="s">
        <v>1668</v>
      </c>
      <c r="E1369" s="656" t="s">
        <v>1920</v>
      </c>
      <c r="F1369" s="655">
        <v>59622</v>
      </c>
      <c r="G1369" s="656" t="s">
        <v>81</v>
      </c>
      <c r="H1369" s="656" t="s">
        <v>1183</v>
      </c>
      <c r="I1369" s="656" t="s">
        <v>1669</v>
      </c>
      <c r="J1369" s="655">
        <v>22</v>
      </c>
      <c r="K1369" s="655">
        <v>2</v>
      </c>
      <c r="L1369" s="656" t="s">
        <v>52</v>
      </c>
      <c r="M1369" s="656" t="s">
        <v>448</v>
      </c>
      <c r="N1369" s="656" t="s">
        <v>449</v>
      </c>
      <c r="O1369" s="656" t="s">
        <v>449</v>
      </c>
      <c r="P1369" s="656" t="s">
        <v>1176</v>
      </c>
      <c r="Q1369" s="657">
        <v>0</v>
      </c>
      <c r="R1369" s="657">
        <v>0</v>
      </c>
      <c r="S1369" s="657">
        <v>14812</v>
      </c>
      <c r="T1369" s="657">
        <v>14812</v>
      </c>
      <c r="U1369" s="657">
        <v>1675</v>
      </c>
      <c r="V1369" s="655">
        <v>2021</v>
      </c>
      <c r="W1369" s="659"/>
      <c r="X1369" s="660">
        <f t="shared" si="65"/>
        <v>8.8429850746268652</v>
      </c>
      <c r="Y1369" s="661" t="str">
        <f t="shared" si="63"/>
        <v/>
      </c>
      <c r="Z1369" s="661" t="str">
        <f t="shared" si="64"/>
        <v/>
      </c>
    </row>
    <row r="1370" spans="1:26" s="128" customFormat="1">
      <c r="A1370" s="655">
        <v>59134</v>
      </c>
      <c r="B1370" s="656" t="s">
        <v>33</v>
      </c>
      <c r="C1370" s="655" t="s">
        <v>2793</v>
      </c>
      <c r="D1370" s="656" t="s">
        <v>1670</v>
      </c>
      <c r="E1370" s="656" t="s">
        <v>1920</v>
      </c>
      <c r="F1370" s="655">
        <v>59622</v>
      </c>
      <c r="G1370" s="656" t="s">
        <v>81</v>
      </c>
      <c r="H1370" s="656" t="s">
        <v>1183</v>
      </c>
      <c r="I1370" s="656" t="s">
        <v>58</v>
      </c>
      <c r="J1370" s="655">
        <v>22</v>
      </c>
      <c r="K1370" s="655">
        <v>2</v>
      </c>
      <c r="L1370" s="656" t="s">
        <v>52</v>
      </c>
      <c r="M1370" s="656" t="s">
        <v>448</v>
      </c>
      <c r="N1370" s="656" t="s">
        <v>449</v>
      </c>
      <c r="O1370" s="656" t="s">
        <v>449</v>
      </c>
      <c r="P1370" s="656" t="s">
        <v>1176</v>
      </c>
      <c r="Q1370" s="657">
        <v>0</v>
      </c>
      <c r="R1370" s="657">
        <v>0</v>
      </c>
      <c r="S1370" s="657">
        <v>21568</v>
      </c>
      <c r="T1370" s="657">
        <v>21568</v>
      </c>
      <c r="U1370" s="657">
        <v>2439</v>
      </c>
      <c r="V1370" s="655">
        <v>2021</v>
      </c>
      <c r="W1370" s="659"/>
      <c r="X1370" s="660">
        <f t="shared" si="65"/>
        <v>8.8429684296842961</v>
      </c>
      <c r="Y1370" s="661" t="str">
        <f t="shared" si="63"/>
        <v/>
      </c>
      <c r="Z1370" s="661" t="str">
        <f t="shared" si="64"/>
        <v/>
      </c>
    </row>
    <row r="1371" spans="1:26" s="128" customFormat="1">
      <c r="A1371" s="655">
        <v>59135</v>
      </c>
      <c r="B1371" s="656" t="s">
        <v>33</v>
      </c>
      <c r="C1371" s="655" t="s">
        <v>2793</v>
      </c>
      <c r="D1371" s="656" t="s">
        <v>1671</v>
      </c>
      <c r="E1371" s="656" t="s">
        <v>1920</v>
      </c>
      <c r="F1371" s="655">
        <v>59622</v>
      </c>
      <c r="G1371" s="656" t="s">
        <v>81</v>
      </c>
      <c r="H1371" s="656" t="s">
        <v>1183</v>
      </c>
      <c r="I1371" s="656" t="s">
        <v>58</v>
      </c>
      <c r="J1371" s="655">
        <v>22</v>
      </c>
      <c r="K1371" s="655">
        <v>2</v>
      </c>
      <c r="L1371" s="656" t="s">
        <v>52</v>
      </c>
      <c r="M1371" s="656" t="s">
        <v>448</v>
      </c>
      <c r="N1371" s="656" t="s">
        <v>449</v>
      </c>
      <c r="O1371" s="656" t="s">
        <v>449</v>
      </c>
      <c r="P1371" s="656" t="s">
        <v>1176</v>
      </c>
      <c r="Q1371" s="657">
        <v>0</v>
      </c>
      <c r="R1371" s="657">
        <v>0</v>
      </c>
      <c r="S1371" s="657">
        <v>26662</v>
      </c>
      <c r="T1371" s="657">
        <v>26662</v>
      </c>
      <c r="U1371" s="657">
        <v>3015</v>
      </c>
      <c r="V1371" s="655">
        <v>2021</v>
      </c>
      <c r="W1371" s="659"/>
      <c r="X1371" s="660">
        <f t="shared" si="65"/>
        <v>8.8431177446102822</v>
      </c>
      <c r="Y1371" s="661" t="str">
        <f t="shared" si="63"/>
        <v/>
      </c>
      <c r="Z1371" s="661" t="str">
        <f t="shared" si="64"/>
        <v/>
      </c>
    </row>
    <row r="1372" spans="1:26" s="128" customFormat="1">
      <c r="A1372" s="655">
        <v>59136</v>
      </c>
      <c r="B1372" s="656" t="s">
        <v>33</v>
      </c>
      <c r="C1372" s="655" t="s">
        <v>2793</v>
      </c>
      <c r="D1372" s="656" t="s">
        <v>1672</v>
      </c>
      <c r="E1372" s="656" t="s">
        <v>1920</v>
      </c>
      <c r="F1372" s="655">
        <v>59622</v>
      </c>
      <c r="G1372" s="656" t="s">
        <v>81</v>
      </c>
      <c r="H1372" s="656" t="s">
        <v>1183</v>
      </c>
      <c r="I1372" s="656" t="s">
        <v>58</v>
      </c>
      <c r="J1372" s="655">
        <v>22</v>
      </c>
      <c r="K1372" s="655">
        <v>2</v>
      </c>
      <c r="L1372" s="656" t="s">
        <v>52</v>
      </c>
      <c r="M1372" s="656" t="s">
        <v>448</v>
      </c>
      <c r="N1372" s="656" t="s">
        <v>449</v>
      </c>
      <c r="O1372" s="656" t="s">
        <v>449</v>
      </c>
      <c r="P1372" s="656" t="s">
        <v>1176</v>
      </c>
      <c r="Q1372" s="657">
        <v>0</v>
      </c>
      <c r="R1372" s="657">
        <v>0</v>
      </c>
      <c r="S1372" s="657">
        <v>13866</v>
      </c>
      <c r="T1372" s="657">
        <v>13866</v>
      </c>
      <c r="U1372" s="657">
        <v>1568</v>
      </c>
      <c r="V1372" s="655">
        <v>2021</v>
      </c>
      <c r="W1372" s="659"/>
      <c r="X1372" s="660">
        <f t="shared" si="65"/>
        <v>8.8431122448979593</v>
      </c>
      <c r="Y1372" s="661" t="str">
        <f t="shared" si="63"/>
        <v/>
      </c>
      <c r="Z1372" s="661" t="str">
        <f t="shared" si="64"/>
        <v/>
      </c>
    </row>
    <row r="1373" spans="1:26" s="128" customFormat="1">
      <c r="A1373" s="655">
        <v>59137</v>
      </c>
      <c r="B1373" s="656" t="s">
        <v>33</v>
      </c>
      <c r="C1373" s="655" t="s">
        <v>2793</v>
      </c>
      <c r="D1373" s="656" t="s">
        <v>1673</v>
      </c>
      <c r="E1373" s="656" t="s">
        <v>1920</v>
      </c>
      <c r="F1373" s="655">
        <v>59622</v>
      </c>
      <c r="G1373" s="656" t="s">
        <v>81</v>
      </c>
      <c r="H1373" s="656" t="s">
        <v>1183</v>
      </c>
      <c r="I1373" s="656" t="s">
        <v>58</v>
      </c>
      <c r="J1373" s="655">
        <v>22</v>
      </c>
      <c r="K1373" s="655">
        <v>2</v>
      </c>
      <c r="L1373" s="656" t="s">
        <v>52</v>
      </c>
      <c r="M1373" s="656" t="s">
        <v>448</v>
      </c>
      <c r="N1373" s="656" t="s">
        <v>449</v>
      </c>
      <c r="O1373" s="656" t="s">
        <v>449</v>
      </c>
      <c r="P1373" s="656" t="s">
        <v>1176</v>
      </c>
      <c r="Q1373" s="657">
        <v>0</v>
      </c>
      <c r="R1373" s="657">
        <v>0</v>
      </c>
      <c r="S1373" s="657">
        <v>52962</v>
      </c>
      <c r="T1373" s="657">
        <v>52962</v>
      </c>
      <c r="U1373" s="657">
        <v>5989</v>
      </c>
      <c r="V1373" s="655">
        <v>2021</v>
      </c>
      <c r="W1373" s="659"/>
      <c r="X1373" s="660">
        <f t="shared" si="65"/>
        <v>8.8432125563533148</v>
      </c>
      <c r="Y1373" s="661" t="str">
        <f t="shared" si="63"/>
        <v/>
      </c>
      <c r="Z1373" s="661" t="str">
        <f t="shared" si="64"/>
        <v/>
      </c>
    </row>
    <row r="1374" spans="1:26" s="128" customFormat="1" ht="25">
      <c r="A1374" s="655">
        <v>59140</v>
      </c>
      <c r="B1374" s="656" t="s">
        <v>33</v>
      </c>
      <c r="C1374" s="655" t="s">
        <v>2793</v>
      </c>
      <c r="D1374" s="656" t="s">
        <v>1734</v>
      </c>
      <c r="E1374" s="656" t="s">
        <v>1733</v>
      </c>
      <c r="F1374" s="655">
        <v>57170</v>
      </c>
      <c r="G1374" s="656" t="s">
        <v>81</v>
      </c>
      <c r="H1374" s="656" t="s">
        <v>1183</v>
      </c>
      <c r="I1374" s="656" t="s">
        <v>58</v>
      </c>
      <c r="J1374" s="655">
        <v>22</v>
      </c>
      <c r="K1374" s="655">
        <v>2</v>
      </c>
      <c r="L1374" s="656" t="s">
        <v>52</v>
      </c>
      <c r="M1374" s="656" t="s">
        <v>448</v>
      </c>
      <c r="N1374" s="656" t="s">
        <v>449</v>
      </c>
      <c r="O1374" s="656" t="s">
        <v>449</v>
      </c>
      <c r="P1374" s="656" t="s">
        <v>1176</v>
      </c>
      <c r="Q1374" s="657">
        <v>0</v>
      </c>
      <c r="R1374" s="657">
        <v>0</v>
      </c>
      <c r="S1374" s="657">
        <v>56409</v>
      </c>
      <c r="T1374" s="657">
        <v>56409</v>
      </c>
      <c r="U1374" s="657">
        <v>6379</v>
      </c>
      <c r="V1374" s="655">
        <v>2021</v>
      </c>
      <c r="W1374" s="659"/>
      <c r="X1374" s="660">
        <f t="shared" si="65"/>
        <v>8.8429220881015826</v>
      </c>
      <c r="Y1374" s="661" t="str">
        <f t="shared" si="63"/>
        <v/>
      </c>
      <c r="Z1374" s="661" t="str">
        <f t="shared" si="64"/>
        <v/>
      </c>
    </row>
    <row r="1375" spans="1:26" s="128" customFormat="1">
      <c r="A1375" s="655">
        <v>59178</v>
      </c>
      <c r="B1375" s="656" t="s">
        <v>33</v>
      </c>
      <c r="C1375" s="655" t="s">
        <v>2793</v>
      </c>
      <c r="D1375" s="656" t="s">
        <v>1674</v>
      </c>
      <c r="E1375" s="656" t="s">
        <v>1675</v>
      </c>
      <c r="F1375" s="655">
        <v>58440</v>
      </c>
      <c r="G1375" s="656" t="s">
        <v>81</v>
      </c>
      <c r="H1375" s="656" t="s">
        <v>1183</v>
      </c>
      <c r="I1375" s="656" t="s">
        <v>58</v>
      </c>
      <c r="J1375" s="655">
        <v>22</v>
      </c>
      <c r="K1375" s="655">
        <v>2</v>
      </c>
      <c r="L1375" s="656" t="s">
        <v>52</v>
      </c>
      <c r="M1375" s="656" t="s">
        <v>448</v>
      </c>
      <c r="N1375" s="656" t="s">
        <v>449</v>
      </c>
      <c r="O1375" s="656" t="s">
        <v>449</v>
      </c>
      <c r="P1375" s="656" t="s">
        <v>1176</v>
      </c>
      <c r="Q1375" s="657">
        <v>0</v>
      </c>
      <c r="R1375" s="657">
        <v>0</v>
      </c>
      <c r="S1375" s="657">
        <v>36256</v>
      </c>
      <c r="T1375" s="657">
        <v>36256</v>
      </c>
      <c r="U1375" s="657">
        <v>4100</v>
      </c>
      <c r="V1375" s="655">
        <v>2021</v>
      </c>
      <c r="W1375" s="659"/>
      <c r="X1375" s="660">
        <f t="shared" si="65"/>
        <v>8.8429268292682934</v>
      </c>
      <c r="Y1375" s="661" t="str">
        <f t="shared" si="63"/>
        <v/>
      </c>
      <c r="Z1375" s="661" t="str">
        <f t="shared" si="64"/>
        <v/>
      </c>
    </row>
    <row r="1376" spans="1:26" s="128" customFormat="1">
      <c r="A1376" s="655">
        <v>59179</v>
      </c>
      <c r="B1376" s="656" t="s">
        <v>33</v>
      </c>
      <c r="C1376" s="655" t="s">
        <v>2793</v>
      </c>
      <c r="D1376" s="656" t="s">
        <v>1676</v>
      </c>
      <c r="E1376" s="656" t="s">
        <v>1675</v>
      </c>
      <c r="F1376" s="655">
        <v>58440</v>
      </c>
      <c r="G1376" s="656" t="s">
        <v>81</v>
      </c>
      <c r="H1376" s="656" t="s">
        <v>1183</v>
      </c>
      <c r="I1376" s="656" t="s">
        <v>58</v>
      </c>
      <c r="J1376" s="655">
        <v>22</v>
      </c>
      <c r="K1376" s="655">
        <v>2</v>
      </c>
      <c r="L1376" s="656" t="s">
        <v>52</v>
      </c>
      <c r="M1376" s="656" t="s">
        <v>448</v>
      </c>
      <c r="N1376" s="656" t="s">
        <v>449</v>
      </c>
      <c r="O1376" s="656" t="s">
        <v>449</v>
      </c>
      <c r="P1376" s="656" t="s">
        <v>1176</v>
      </c>
      <c r="Q1376" s="657">
        <v>0</v>
      </c>
      <c r="R1376" s="657">
        <v>0</v>
      </c>
      <c r="S1376" s="657">
        <v>43323</v>
      </c>
      <c r="T1376" s="657">
        <v>43323</v>
      </c>
      <c r="U1376" s="657">
        <v>4899</v>
      </c>
      <c r="V1376" s="655">
        <v>2021</v>
      </c>
      <c r="W1376" s="659"/>
      <c r="X1376" s="660">
        <f t="shared" si="65"/>
        <v>8.8432333129210043</v>
      </c>
      <c r="Y1376" s="661" t="str">
        <f t="shared" si="63"/>
        <v/>
      </c>
      <c r="Z1376" s="661" t="str">
        <f t="shared" si="64"/>
        <v/>
      </c>
    </row>
    <row r="1377" spans="1:26" s="128" customFormat="1" ht="25" hidden="1">
      <c r="A1377" s="655">
        <v>59222</v>
      </c>
      <c r="B1377" s="656" t="s">
        <v>33</v>
      </c>
      <c r="C1377" s="655" t="s">
        <v>2793</v>
      </c>
      <c r="D1377" s="656" t="s">
        <v>1928</v>
      </c>
      <c r="E1377" s="656" t="s">
        <v>1929</v>
      </c>
      <c r="F1377" s="655">
        <v>17650</v>
      </c>
      <c r="G1377" s="656" t="s">
        <v>90</v>
      </c>
      <c r="H1377" s="656" t="s">
        <v>1183</v>
      </c>
      <c r="I1377" s="656" t="s">
        <v>58</v>
      </c>
      <c r="J1377" s="655">
        <v>22</v>
      </c>
      <c r="K1377" s="655">
        <v>2</v>
      </c>
      <c r="L1377" s="656" t="s">
        <v>52</v>
      </c>
      <c r="M1377" s="656" t="s">
        <v>71</v>
      </c>
      <c r="N1377" s="656" t="s">
        <v>72</v>
      </c>
      <c r="O1377" s="656" t="s">
        <v>72</v>
      </c>
      <c r="P1377" s="656" t="s">
        <v>1176</v>
      </c>
      <c r="Q1377" s="657">
        <v>0</v>
      </c>
      <c r="R1377" s="657">
        <v>0</v>
      </c>
      <c r="S1377" s="657">
        <v>1212800</v>
      </c>
      <c r="T1377" s="657">
        <v>1212800</v>
      </c>
      <c r="U1377" s="657">
        <v>137148</v>
      </c>
      <c r="V1377" s="655">
        <v>2021</v>
      </c>
      <c r="W1377" s="659"/>
      <c r="X1377" s="660">
        <f t="shared" si="65"/>
        <v>8.8430017207688039</v>
      </c>
      <c r="Y1377" s="661" t="str">
        <f t="shared" si="63"/>
        <v/>
      </c>
      <c r="Z1377" s="661" t="str">
        <f t="shared" si="64"/>
        <v/>
      </c>
    </row>
    <row r="1378" spans="1:26" s="128" customFormat="1">
      <c r="A1378" s="655">
        <v>59241</v>
      </c>
      <c r="B1378" s="656" t="s">
        <v>33</v>
      </c>
      <c r="C1378" s="655" t="s">
        <v>2793</v>
      </c>
      <c r="D1378" s="656" t="s">
        <v>1677</v>
      </c>
      <c r="E1378" s="656" t="s">
        <v>1645</v>
      </c>
      <c r="F1378" s="655">
        <v>58801</v>
      </c>
      <c r="G1378" s="656" t="s">
        <v>81</v>
      </c>
      <c r="H1378" s="656" t="s">
        <v>1183</v>
      </c>
      <c r="I1378" s="656" t="s">
        <v>58</v>
      </c>
      <c r="J1378" s="655">
        <v>22</v>
      </c>
      <c r="K1378" s="655">
        <v>2</v>
      </c>
      <c r="L1378" s="656" t="s">
        <v>52</v>
      </c>
      <c r="M1378" s="656" t="s">
        <v>448</v>
      </c>
      <c r="N1378" s="656" t="s">
        <v>449</v>
      </c>
      <c r="O1378" s="656" t="s">
        <v>449</v>
      </c>
      <c r="P1378" s="656" t="s">
        <v>1176</v>
      </c>
      <c r="Q1378" s="657">
        <v>0</v>
      </c>
      <c r="R1378" s="657">
        <v>0</v>
      </c>
      <c r="S1378" s="657">
        <v>33035</v>
      </c>
      <c r="T1378" s="657">
        <v>33035</v>
      </c>
      <c r="U1378" s="657">
        <v>3736</v>
      </c>
      <c r="V1378" s="655">
        <v>2021</v>
      </c>
      <c r="W1378" s="659"/>
      <c r="X1378" s="660">
        <f t="shared" si="65"/>
        <v>8.842344753747323</v>
      </c>
      <c r="Y1378" s="661" t="str">
        <f t="shared" si="63"/>
        <v/>
      </c>
      <c r="Z1378" s="661" t="str">
        <f t="shared" si="64"/>
        <v/>
      </c>
    </row>
    <row r="1379" spans="1:26" s="128" customFormat="1">
      <c r="A1379" s="655">
        <v>59242</v>
      </c>
      <c r="B1379" s="656" t="s">
        <v>33</v>
      </c>
      <c r="C1379" s="655" t="s">
        <v>2793</v>
      </c>
      <c r="D1379" s="656" t="s">
        <v>1735</v>
      </c>
      <c r="E1379" s="656" t="s">
        <v>1645</v>
      </c>
      <c r="F1379" s="655">
        <v>58801</v>
      </c>
      <c r="G1379" s="656" t="s">
        <v>81</v>
      </c>
      <c r="H1379" s="656" t="s">
        <v>1183</v>
      </c>
      <c r="I1379" s="656" t="s">
        <v>58</v>
      </c>
      <c r="J1379" s="655">
        <v>22</v>
      </c>
      <c r="K1379" s="655">
        <v>2</v>
      </c>
      <c r="L1379" s="656" t="s">
        <v>52</v>
      </c>
      <c r="M1379" s="656" t="s">
        <v>448</v>
      </c>
      <c r="N1379" s="656" t="s">
        <v>449</v>
      </c>
      <c r="O1379" s="656" t="s">
        <v>449</v>
      </c>
      <c r="P1379" s="656" t="s">
        <v>1176</v>
      </c>
      <c r="Q1379" s="657">
        <v>0</v>
      </c>
      <c r="R1379" s="657">
        <v>0</v>
      </c>
      <c r="S1379" s="657">
        <v>27625</v>
      </c>
      <c r="T1379" s="657">
        <v>27625</v>
      </c>
      <c r="U1379" s="657">
        <v>3124</v>
      </c>
      <c r="V1379" s="655">
        <v>2021</v>
      </c>
      <c r="W1379" s="659"/>
      <c r="X1379" s="660">
        <f t="shared" si="65"/>
        <v>8.8428297055057623</v>
      </c>
      <c r="Y1379" s="661" t="str">
        <f t="shared" si="63"/>
        <v/>
      </c>
      <c r="Z1379" s="661" t="str">
        <f t="shared" si="64"/>
        <v/>
      </c>
    </row>
    <row r="1380" spans="1:26" s="128" customFormat="1" hidden="1">
      <c r="A1380" s="655">
        <v>59254</v>
      </c>
      <c r="B1380" s="656" t="s">
        <v>33</v>
      </c>
      <c r="C1380" s="655" t="s">
        <v>2793</v>
      </c>
      <c r="D1380" s="656" t="s">
        <v>1678</v>
      </c>
      <c r="E1380" s="656" t="s">
        <v>1057</v>
      </c>
      <c r="F1380" s="655">
        <v>56889</v>
      </c>
      <c r="G1380" s="656" t="s">
        <v>131</v>
      </c>
      <c r="H1380" s="656" t="s">
        <v>1183</v>
      </c>
      <c r="I1380" s="656" t="s">
        <v>58</v>
      </c>
      <c r="J1380" s="655">
        <v>22</v>
      </c>
      <c r="K1380" s="655">
        <v>2</v>
      </c>
      <c r="L1380" s="656" t="s">
        <v>52</v>
      </c>
      <c r="M1380" s="656" t="s">
        <v>38</v>
      </c>
      <c r="N1380" s="656" t="s">
        <v>63</v>
      </c>
      <c r="O1380" s="656" t="s">
        <v>64</v>
      </c>
      <c r="P1380" s="656" t="s">
        <v>1037</v>
      </c>
      <c r="Q1380" s="657">
        <v>0</v>
      </c>
      <c r="R1380" s="657">
        <v>0</v>
      </c>
      <c r="S1380" s="657">
        <v>0</v>
      </c>
      <c r="T1380" s="657">
        <v>0</v>
      </c>
      <c r="U1380" s="657">
        <v>56129.05</v>
      </c>
      <c r="V1380" s="655">
        <v>2021</v>
      </c>
      <c r="W1380" s="659"/>
      <c r="X1380" s="660" t="str">
        <f t="shared" si="65"/>
        <v/>
      </c>
      <c r="Y1380" s="661" t="str">
        <f t="shared" si="63"/>
        <v/>
      </c>
      <c r="Z1380" s="661" t="str">
        <f t="shared" si="64"/>
        <v/>
      </c>
    </row>
    <row r="1381" spans="1:26" s="128" customFormat="1" hidden="1">
      <c r="A1381" s="655">
        <v>59254</v>
      </c>
      <c r="B1381" s="656" t="s">
        <v>33</v>
      </c>
      <c r="C1381" s="655" t="s">
        <v>2793</v>
      </c>
      <c r="D1381" s="656" t="s">
        <v>1678</v>
      </c>
      <c r="E1381" s="656" t="s">
        <v>1057</v>
      </c>
      <c r="F1381" s="655">
        <v>56889</v>
      </c>
      <c r="G1381" s="656" t="s">
        <v>131</v>
      </c>
      <c r="H1381" s="656" t="s">
        <v>1183</v>
      </c>
      <c r="I1381" s="656" t="s">
        <v>58</v>
      </c>
      <c r="J1381" s="655">
        <v>22</v>
      </c>
      <c r="K1381" s="655">
        <v>2</v>
      </c>
      <c r="L1381" s="656" t="s">
        <v>52</v>
      </c>
      <c r="M1381" s="656" t="s">
        <v>41</v>
      </c>
      <c r="N1381" s="656" t="s">
        <v>63</v>
      </c>
      <c r="O1381" s="656" t="s">
        <v>64</v>
      </c>
      <c r="P1381" s="656" t="s">
        <v>1037</v>
      </c>
      <c r="Q1381" s="657">
        <v>4058148</v>
      </c>
      <c r="R1381" s="657">
        <v>4058148</v>
      </c>
      <c r="S1381" s="657">
        <v>2011591</v>
      </c>
      <c r="T1381" s="657">
        <v>2011591</v>
      </c>
      <c r="U1381" s="657">
        <v>148071.47</v>
      </c>
      <c r="V1381" s="655">
        <v>2021</v>
      </c>
      <c r="W1381" s="659"/>
      <c r="X1381" s="660">
        <f t="shared" si="65"/>
        <v>13.585270680435602</v>
      </c>
      <c r="Y1381" s="661" t="str">
        <f t="shared" si="63"/>
        <v/>
      </c>
      <c r="Z1381" s="661" t="str">
        <f t="shared" si="64"/>
        <v/>
      </c>
    </row>
    <row r="1382" spans="1:26" s="128" customFormat="1" hidden="1">
      <c r="A1382" s="655">
        <v>59274</v>
      </c>
      <c r="B1382" s="656" t="s">
        <v>33</v>
      </c>
      <c r="C1382" s="655" t="s">
        <v>2793</v>
      </c>
      <c r="D1382" s="656" t="s">
        <v>2333</v>
      </c>
      <c r="E1382" s="656" t="s">
        <v>2210</v>
      </c>
      <c r="F1382" s="655">
        <v>61012</v>
      </c>
      <c r="G1382" s="656" t="s">
        <v>57</v>
      </c>
      <c r="H1382" s="656" t="s">
        <v>1182</v>
      </c>
      <c r="I1382" s="656" t="s">
        <v>58</v>
      </c>
      <c r="J1382" s="655">
        <v>22</v>
      </c>
      <c r="K1382" s="655">
        <v>2</v>
      </c>
      <c r="L1382" s="656" t="s">
        <v>52</v>
      </c>
      <c r="M1382" s="656" t="s">
        <v>448</v>
      </c>
      <c r="N1382" s="656" t="s">
        <v>449</v>
      </c>
      <c r="O1382" s="656" t="s">
        <v>449</v>
      </c>
      <c r="P1382" s="656" t="s">
        <v>1176</v>
      </c>
      <c r="Q1382" s="657">
        <v>0</v>
      </c>
      <c r="R1382" s="657">
        <v>0</v>
      </c>
      <c r="S1382" s="657">
        <v>74943</v>
      </c>
      <c r="T1382" s="657">
        <v>74943</v>
      </c>
      <c r="U1382" s="657">
        <v>8475</v>
      </c>
      <c r="V1382" s="655">
        <v>2021</v>
      </c>
      <c r="W1382" s="659"/>
      <c r="X1382" s="660">
        <f t="shared" si="65"/>
        <v>8.8428318584070791</v>
      </c>
      <c r="Y1382" s="661" t="str">
        <f t="shared" si="63"/>
        <v/>
      </c>
      <c r="Z1382" s="661" t="str">
        <f t="shared" si="64"/>
        <v/>
      </c>
    </row>
    <row r="1383" spans="1:26" s="128" customFormat="1" ht="25" hidden="1">
      <c r="A1383" s="655">
        <v>59275</v>
      </c>
      <c r="B1383" s="656" t="s">
        <v>33</v>
      </c>
      <c r="C1383" s="655" t="s">
        <v>2793</v>
      </c>
      <c r="D1383" s="656" t="s">
        <v>1852</v>
      </c>
      <c r="E1383" s="656" t="s">
        <v>2210</v>
      </c>
      <c r="F1383" s="655">
        <v>61012</v>
      </c>
      <c r="G1383" s="656" t="s">
        <v>57</v>
      </c>
      <c r="H1383" s="656" t="s">
        <v>1182</v>
      </c>
      <c r="I1383" s="656" t="s">
        <v>58</v>
      </c>
      <c r="J1383" s="655">
        <v>22</v>
      </c>
      <c r="K1383" s="655">
        <v>2</v>
      </c>
      <c r="L1383" s="656" t="s">
        <v>52</v>
      </c>
      <c r="M1383" s="656" t="s">
        <v>448</v>
      </c>
      <c r="N1383" s="656" t="s">
        <v>449</v>
      </c>
      <c r="O1383" s="656" t="s">
        <v>449</v>
      </c>
      <c r="P1383" s="656" t="s">
        <v>1176</v>
      </c>
      <c r="Q1383" s="657">
        <v>0</v>
      </c>
      <c r="R1383" s="657">
        <v>0</v>
      </c>
      <c r="S1383" s="657">
        <v>16280</v>
      </c>
      <c r="T1383" s="657">
        <v>16280</v>
      </c>
      <c r="U1383" s="657">
        <v>1841</v>
      </c>
      <c r="V1383" s="655">
        <v>2021</v>
      </c>
      <c r="W1383" s="659"/>
      <c r="X1383" s="660">
        <f t="shared" si="65"/>
        <v>8.8430200977729498</v>
      </c>
      <c r="Y1383" s="661" t="str">
        <f t="shared" si="63"/>
        <v/>
      </c>
      <c r="Z1383" s="661" t="str">
        <f t="shared" si="64"/>
        <v/>
      </c>
    </row>
    <row r="1384" spans="1:26" s="128" customFormat="1" ht="25" hidden="1">
      <c r="A1384" s="655">
        <v>59276</v>
      </c>
      <c r="B1384" s="656" t="s">
        <v>33</v>
      </c>
      <c r="C1384" s="655" t="s">
        <v>2793</v>
      </c>
      <c r="D1384" s="656" t="s">
        <v>1930</v>
      </c>
      <c r="E1384" s="656" t="s">
        <v>2210</v>
      </c>
      <c r="F1384" s="655">
        <v>61012</v>
      </c>
      <c r="G1384" s="656" t="s">
        <v>57</v>
      </c>
      <c r="H1384" s="656" t="s">
        <v>1182</v>
      </c>
      <c r="I1384" s="656" t="s">
        <v>58</v>
      </c>
      <c r="J1384" s="655">
        <v>22</v>
      </c>
      <c r="K1384" s="655">
        <v>2</v>
      </c>
      <c r="L1384" s="656" t="s">
        <v>52</v>
      </c>
      <c r="M1384" s="656" t="s">
        <v>448</v>
      </c>
      <c r="N1384" s="656" t="s">
        <v>449</v>
      </c>
      <c r="O1384" s="656" t="s">
        <v>449</v>
      </c>
      <c r="P1384" s="656" t="s">
        <v>1176</v>
      </c>
      <c r="Q1384" s="657">
        <v>0</v>
      </c>
      <c r="R1384" s="657">
        <v>0</v>
      </c>
      <c r="S1384" s="657">
        <v>151764</v>
      </c>
      <c r="T1384" s="657">
        <v>151764</v>
      </c>
      <c r="U1384" s="657">
        <v>17162</v>
      </c>
      <c r="V1384" s="655">
        <v>2021</v>
      </c>
      <c r="W1384" s="659"/>
      <c r="X1384" s="660">
        <f t="shared" si="65"/>
        <v>8.8430252884279223</v>
      </c>
      <c r="Y1384" s="661" t="str">
        <f t="shared" si="63"/>
        <v/>
      </c>
      <c r="Z1384" s="661" t="str">
        <f t="shared" si="64"/>
        <v/>
      </c>
    </row>
    <row r="1385" spans="1:26" s="128" customFormat="1" hidden="1">
      <c r="A1385" s="655">
        <v>59295</v>
      </c>
      <c r="B1385" s="656" t="s">
        <v>33</v>
      </c>
      <c r="C1385" s="655" t="s">
        <v>2793</v>
      </c>
      <c r="D1385" s="656" t="s">
        <v>1679</v>
      </c>
      <c r="E1385" s="656" t="s">
        <v>1680</v>
      </c>
      <c r="F1385" s="655">
        <v>59097</v>
      </c>
      <c r="G1385" s="656" t="s">
        <v>131</v>
      </c>
      <c r="H1385" s="656" t="s">
        <v>1183</v>
      </c>
      <c r="I1385" s="656" t="s">
        <v>58</v>
      </c>
      <c r="J1385" s="655">
        <v>22</v>
      </c>
      <c r="K1385" s="655">
        <v>2</v>
      </c>
      <c r="L1385" s="656" t="s">
        <v>52</v>
      </c>
      <c r="M1385" s="656" t="s">
        <v>71</v>
      </c>
      <c r="N1385" s="656" t="s">
        <v>72</v>
      </c>
      <c r="O1385" s="656" t="s">
        <v>72</v>
      </c>
      <c r="P1385" s="656" t="s">
        <v>1176</v>
      </c>
      <c r="Q1385" s="657">
        <v>0</v>
      </c>
      <c r="R1385" s="657">
        <v>0</v>
      </c>
      <c r="S1385" s="657">
        <v>22522</v>
      </c>
      <c r="T1385" s="657">
        <v>22522</v>
      </c>
      <c r="U1385" s="657">
        <v>2547</v>
      </c>
      <c r="V1385" s="655">
        <v>2021</v>
      </c>
      <c r="W1385" s="659"/>
      <c r="X1385" s="660">
        <f t="shared" si="65"/>
        <v>8.842559874361994</v>
      </c>
      <c r="Y1385" s="661" t="str">
        <f t="shared" si="63"/>
        <v/>
      </c>
      <c r="Z1385" s="661" t="str">
        <f t="shared" si="64"/>
        <v/>
      </c>
    </row>
    <row r="1386" spans="1:26" s="128" customFormat="1" hidden="1">
      <c r="A1386" s="655">
        <v>59301</v>
      </c>
      <c r="B1386" s="656" t="s">
        <v>33</v>
      </c>
      <c r="C1386" s="655" t="s">
        <v>2793</v>
      </c>
      <c r="D1386" s="656" t="s">
        <v>1931</v>
      </c>
      <c r="E1386" s="656" t="s">
        <v>1932</v>
      </c>
      <c r="F1386" s="655">
        <v>59105</v>
      </c>
      <c r="G1386" s="656" t="s">
        <v>131</v>
      </c>
      <c r="H1386" s="656" t="s">
        <v>1183</v>
      </c>
      <c r="I1386" s="656" t="s">
        <v>58</v>
      </c>
      <c r="J1386" s="655">
        <v>22</v>
      </c>
      <c r="K1386" s="655">
        <v>2</v>
      </c>
      <c r="L1386" s="656" t="s">
        <v>52</v>
      </c>
      <c r="M1386" s="656" t="s">
        <v>71</v>
      </c>
      <c r="N1386" s="656" t="s">
        <v>72</v>
      </c>
      <c r="O1386" s="656" t="s">
        <v>72</v>
      </c>
      <c r="P1386" s="656" t="s">
        <v>1176</v>
      </c>
      <c r="Q1386" s="657">
        <v>0</v>
      </c>
      <c r="R1386" s="657">
        <v>0</v>
      </c>
      <c r="S1386" s="657">
        <v>21807</v>
      </c>
      <c r="T1386" s="657">
        <v>21807</v>
      </c>
      <c r="U1386" s="657">
        <v>2466</v>
      </c>
      <c r="V1386" s="655">
        <v>2021</v>
      </c>
      <c r="W1386" s="659"/>
      <c r="X1386" s="660">
        <f t="shared" si="65"/>
        <v>8.8430656934306562</v>
      </c>
      <c r="Y1386" s="661" t="str">
        <f t="shared" si="63"/>
        <v/>
      </c>
      <c r="Z1386" s="661" t="str">
        <f t="shared" si="64"/>
        <v/>
      </c>
    </row>
    <row r="1387" spans="1:26" s="128" customFormat="1" hidden="1">
      <c r="A1387" s="655">
        <v>59302</v>
      </c>
      <c r="B1387" s="656" t="s">
        <v>33</v>
      </c>
      <c r="C1387" s="655" t="s">
        <v>2793</v>
      </c>
      <c r="D1387" s="656" t="s">
        <v>1933</v>
      </c>
      <c r="E1387" s="656" t="s">
        <v>1934</v>
      </c>
      <c r="F1387" s="655">
        <v>59106</v>
      </c>
      <c r="G1387" s="656" t="s">
        <v>131</v>
      </c>
      <c r="H1387" s="656" t="s">
        <v>1183</v>
      </c>
      <c r="I1387" s="656" t="s">
        <v>58</v>
      </c>
      <c r="J1387" s="655">
        <v>22</v>
      </c>
      <c r="K1387" s="655">
        <v>2</v>
      </c>
      <c r="L1387" s="656" t="s">
        <v>52</v>
      </c>
      <c r="M1387" s="656" t="s">
        <v>71</v>
      </c>
      <c r="N1387" s="656" t="s">
        <v>72</v>
      </c>
      <c r="O1387" s="656" t="s">
        <v>72</v>
      </c>
      <c r="P1387" s="656" t="s">
        <v>1176</v>
      </c>
      <c r="Q1387" s="657">
        <v>0</v>
      </c>
      <c r="R1387" s="657">
        <v>0</v>
      </c>
      <c r="S1387" s="657">
        <v>81258</v>
      </c>
      <c r="T1387" s="657">
        <v>81258</v>
      </c>
      <c r="U1387" s="657">
        <v>9189</v>
      </c>
      <c r="V1387" s="655">
        <v>2021</v>
      </c>
      <c r="W1387" s="659"/>
      <c r="X1387" s="660">
        <f t="shared" si="65"/>
        <v>8.8429644139732293</v>
      </c>
      <c r="Y1387" s="661" t="str">
        <f t="shared" si="63"/>
        <v/>
      </c>
      <c r="Z1387" s="661" t="str">
        <f t="shared" si="64"/>
        <v/>
      </c>
    </row>
    <row r="1388" spans="1:26" s="128" customFormat="1" hidden="1">
      <c r="A1388" s="655">
        <v>59305</v>
      </c>
      <c r="B1388" s="656" t="s">
        <v>33</v>
      </c>
      <c r="C1388" s="655" t="s">
        <v>2793</v>
      </c>
      <c r="D1388" s="656" t="s">
        <v>1935</v>
      </c>
      <c r="E1388" s="656" t="s">
        <v>1936</v>
      </c>
      <c r="F1388" s="655">
        <v>59107</v>
      </c>
      <c r="G1388" s="656" t="s">
        <v>131</v>
      </c>
      <c r="H1388" s="656" t="s">
        <v>1183</v>
      </c>
      <c r="I1388" s="656" t="s">
        <v>58</v>
      </c>
      <c r="J1388" s="655">
        <v>22</v>
      </c>
      <c r="K1388" s="655">
        <v>2</v>
      </c>
      <c r="L1388" s="656" t="s">
        <v>52</v>
      </c>
      <c r="M1388" s="656" t="s">
        <v>71</v>
      </c>
      <c r="N1388" s="656" t="s">
        <v>72</v>
      </c>
      <c r="O1388" s="656" t="s">
        <v>72</v>
      </c>
      <c r="P1388" s="656" t="s">
        <v>1176</v>
      </c>
      <c r="Q1388" s="657">
        <v>0</v>
      </c>
      <c r="R1388" s="657">
        <v>0</v>
      </c>
      <c r="S1388" s="657">
        <v>27209</v>
      </c>
      <c r="T1388" s="657">
        <v>27209</v>
      </c>
      <c r="U1388" s="657">
        <v>3077</v>
      </c>
      <c r="V1388" s="655">
        <v>2021</v>
      </c>
      <c r="W1388" s="659"/>
      <c r="X1388" s="660">
        <f t="shared" si="65"/>
        <v>8.8427039324016903</v>
      </c>
      <c r="Y1388" s="661" t="str">
        <f t="shared" si="63"/>
        <v/>
      </c>
      <c r="Z1388" s="661" t="str">
        <f t="shared" si="64"/>
        <v/>
      </c>
    </row>
    <row r="1389" spans="1:26" s="128" customFormat="1" hidden="1">
      <c r="A1389" s="655">
        <v>59306</v>
      </c>
      <c r="B1389" s="656" t="s">
        <v>33</v>
      </c>
      <c r="C1389" s="655" t="s">
        <v>2793</v>
      </c>
      <c r="D1389" s="656" t="s">
        <v>1937</v>
      </c>
      <c r="E1389" s="656" t="s">
        <v>1938</v>
      </c>
      <c r="F1389" s="655">
        <v>59108</v>
      </c>
      <c r="G1389" s="656" t="s">
        <v>131</v>
      </c>
      <c r="H1389" s="656" t="s">
        <v>1183</v>
      </c>
      <c r="I1389" s="656" t="s">
        <v>58</v>
      </c>
      <c r="J1389" s="655">
        <v>22</v>
      </c>
      <c r="K1389" s="655">
        <v>2</v>
      </c>
      <c r="L1389" s="656" t="s">
        <v>52</v>
      </c>
      <c r="M1389" s="656" t="s">
        <v>71</v>
      </c>
      <c r="N1389" s="656" t="s">
        <v>72</v>
      </c>
      <c r="O1389" s="656" t="s">
        <v>72</v>
      </c>
      <c r="P1389" s="656" t="s">
        <v>1176</v>
      </c>
      <c r="Q1389" s="657">
        <v>0</v>
      </c>
      <c r="R1389" s="657">
        <v>0</v>
      </c>
      <c r="S1389" s="657">
        <v>21939</v>
      </c>
      <c r="T1389" s="657">
        <v>21939</v>
      </c>
      <c r="U1389" s="657">
        <v>2481</v>
      </c>
      <c r="V1389" s="655">
        <v>2021</v>
      </c>
      <c r="W1389" s="659"/>
      <c r="X1389" s="660">
        <f t="shared" si="65"/>
        <v>8.8428053204353088</v>
      </c>
      <c r="Y1389" s="661" t="str">
        <f t="shared" si="63"/>
        <v/>
      </c>
      <c r="Z1389" s="661" t="str">
        <f t="shared" si="64"/>
        <v/>
      </c>
    </row>
    <row r="1390" spans="1:26" s="128" customFormat="1" hidden="1">
      <c r="A1390" s="655">
        <v>59313</v>
      </c>
      <c r="B1390" s="656" t="s">
        <v>33</v>
      </c>
      <c r="C1390" s="655" t="s">
        <v>2793</v>
      </c>
      <c r="D1390" s="656" t="s">
        <v>2137</v>
      </c>
      <c r="E1390" s="656" t="s">
        <v>2138</v>
      </c>
      <c r="F1390" s="655">
        <v>59116</v>
      </c>
      <c r="G1390" s="656" t="s">
        <v>131</v>
      </c>
      <c r="H1390" s="656" t="s">
        <v>1183</v>
      </c>
      <c r="I1390" s="656" t="s">
        <v>58</v>
      </c>
      <c r="J1390" s="655">
        <v>22</v>
      </c>
      <c r="K1390" s="655">
        <v>2</v>
      </c>
      <c r="L1390" s="656" t="s">
        <v>52</v>
      </c>
      <c r="M1390" s="656" t="s">
        <v>71</v>
      </c>
      <c r="N1390" s="656" t="s">
        <v>72</v>
      </c>
      <c r="O1390" s="656" t="s">
        <v>72</v>
      </c>
      <c r="P1390" s="656" t="s">
        <v>1176</v>
      </c>
      <c r="Q1390" s="657">
        <v>0</v>
      </c>
      <c r="R1390" s="657">
        <v>0</v>
      </c>
      <c r="S1390" s="657">
        <v>26254</v>
      </c>
      <c r="T1390" s="657">
        <v>26254</v>
      </c>
      <c r="U1390" s="657">
        <v>2969</v>
      </c>
      <c r="V1390" s="655">
        <v>2021</v>
      </c>
      <c r="W1390" s="659"/>
      <c r="X1390" s="660">
        <f t="shared" si="65"/>
        <v>8.8427079824856847</v>
      </c>
      <c r="Y1390" s="661" t="str">
        <f t="shared" si="63"/>
        <v/>
      </c>
      <c r="Z1390" s="661" t="str">
        <f t="shared" si="64"/>
        <v/>
      </c>
    </row>
    <row r="1391" spans="1:26" s="128" customFormat="1" hidden="1">
      <c r="A1391" s="655">
        <v>59314</v>
      </c>
      <c r="B1391" s="656" t="s">
        <v>33</v>
      </c>
      <c r="C1391" s="655" t="s">
        <v>2793</v>
      </c>
      <c r="D1391" s="656" t="s">
        <v>1939</v>
      </c>
      <c r="E1391" s="656" t="s">
        <v>1940</v>
      </c>
      <c r="F1391" s="655">
        <v>59117</v>
      </c>
      <c r="G1391" s="656" t="s">
        <v>131</v>
      </c>
      <c r="H1391" s="656" t="s">
        <v>1183</v>
      </c>
      <c r="I1391" s="656" t="s">
        <v>58</v>
      </c>
      <c r="J1391" s="655">
        <v>22</v>
      </c>
      <c r="K1391" s="655">
        <v>2</v>
      </c>
      <c r="L1391" s="656" t="s">
        <v>52</v>
      </c>
      <c r="M1391" s="656" t="s">
        <v>71</v>
      </c>
      <c r="N1391" s="656" t="s">
        <v>72</v>
      </c>
      <c r="O1391" s="656" t="s">
        <v>72</v>
      </c>
      <c r="P1391" s="656" t="s">
        <v>1176</v>
      </c>
      <c r="Q1391" s="657">
        <v>0</v>
      </c>
      <c r="R1391" s="657">
        <v>0</v>
      </c>
      <c r="S1391" s="657">
        <v>71983</v>
      </c>
      <c r="T1391" s="657">
        <v>71983</v>
      </c>
      <c r="U1391" s="657">
        <v>8140</v>
      </c>
      <c r="V1391" s="655">
        <v>2021</v>
      </c>
      <c r="W1391" s="659"/>
      <c r="X1391" s="660">
        <f t="shared" si="65"/>
        <v>8.8431203931203939</v>
      </c>
      <c r="Y1391" s="661" t="str">
        <f t="shared" si="63"/>
        <v/>
      </c>
      <c r="Z1391" s="661" t="str">
        <f t="shared" si="64"/>
        <v/>
      </c>
    </row>
    <row r="1392" spans="1:26" s="128" customFormat="1" ht="25">
      <c r="A1392" s="655">
        <v>59358</v>
      </c>
      <c r="B1392" s="656" t="s">
        <v>33</v>
      </c>
      <c r="C1392" s="655" t="s">
        <v>2793</v>
      </c>
      <c r="D1392" s="656" t="s">
        <v>1736</v>
      </c>
      <c r="E1392" s="656" t="s">
        <v>1989</v>
      </c>
      <c r="F1392" s="655">
        <v>60281</v>
      </c>
      <c r="G1392" s="656" t="s">
        <v>81</v>
      </c>
      <c r="H1392" s="656" t="s">
        <v>1183</v>
      </c>
      <c r="I1392" s="656" t="s">
        <v>58</v>
      </c>
      <c r="J1392" s="655">
        <v>22</v>
      </c>
      <c r="K1392" s="655">
        <v>2</v>
      </c>
      <c r="L1392" s="656" t="s">
        <v>52</v>
      </c>
      <c r="M1392" s="656" t="s">
        <v>448</v>
      </c>
      <c r="N1392" s="656" t="s">
        <v>449</v>
      </c>
      <c r="O1392" s="656" t="s">
        <v>449</v>
      </c>
      <c r="P1392" s="656" t="s">
        <v>1176</v>
      </c>
      <c r="Q1392" s="657">
        <v>0</v>
      </c>
      <c r="R1392" s="657">
        <v>0</v>
      </c>
      <c r="S1392" s="657">
        <v>43146</v>
      </c>
      <c r="T1392" s="657">
        <v>43146</v>
      </c>
      <c r="U1392" s="657">
        <v>4879</v>
      </c>
      <c r="V1392" s="655">
        <v>2021</v>
      </c>
      <c r="W1392" s="659"/>
      <c r="X1392" s="660">
        <f t="shared" si="65"/>
        <v>8.8432055749128917</v>
      </c>
      <c r="Y1392" s="661" t="str">
        <f t="shared" si="63"/>
        <v/>
      </c>
      <c r="Z1392" s="661" t="str">
        <f t="shared" si="64"/>
        <v/>
      </c>
    </row>
    <row r="1393" spans="1:26" s="128" customFormat="1">
      <c r="A1393" s="655">
        <v>59361</v>
      </c>
      <c r="B1393" s="656" t="s">
        <v>33</v>
      </c>
      <c r="C1393" s="655" t="s">
        <v>2793</v>
      </c>
      <c r="D1393" s="656" t="s">
        <v>1737</v>
      </c>
      <c r="E1393" s="656" t="s">
        <v>2326</v>
      </c>
      <c r="F1393" s="655">
        <v>62060</v>
      </c>
      <c r="G1393" s="656" t="s">
        <v>81</v>
      </c>
      <c r="H1393" s="656" t="s">
        <v>1183</v>
      </c>
      <c r="I1393" s="656" t="s">
        <v>58</v>
      </c>
      <c r="J1393" s="655">
        <v>22</v>
      </c>
      <c r="K1393" s="655">
        <v>2</v>
      </c>
      <c r="L1393" s="656" t="s">
        <v>52</v>
      </c>
      <c r="M1393" s="656" t="s">
        <v>448</v>
      </c>
      <c r="N1393" s="656" t="s">
        <v>449</v>
      </c>
      <c r="O1393" s="656" t="s">
        <v>449</v>
      </c>
      <c r="P1393" s="656" t="s">
        <v>1176</v>
      </c>
      <c r="Q1393" s="657">
        <v>0</v>
      </c>
      <c r="R1393" s="657">
        <v>0</v>
      </c>
      <c r="S1393" s="657">
        <v>12929</v>
      </c>
      <c r="T1393" s="657">
        <v>12929</v>
      </c>
      <c r="U1393" s="657">
        <v>1462</v>
      </c>
      <c r="V1393" s="655">
        <v>2021</v>
      </c>
      <c r="W1393" s="659"/>
      <c r="X1393" s="660">
        <f t="shared" si="65"/>
        <v>8.8433652530779749</v>
      </c>
      <c r="Y1393" s="661" t="str">
        <f t="shared" si="63"/>
        <v/>
      </c>
      <c r="Z1393" s="661" t="str">
        <f t="shared" si="64"/>
        <v/>
      </c>
    </row>
    <row r="1394" spans="1:26" s="128" customFormat="1">
      <c r="A1394" s="655">
        <v>59362</v>
      </c>
      <c r="B1394" s="656" t="s">
        <v>33</v>
      </c>
      <c r="C1394" s="655" t="s">
        <v>2793</v>
      </c>
      <c r="D1394" s="656" t="s">
        <v>1739</v>
      </c>
      <c r="E1394" s="656" t="s">
        <v>2326</v>
      </c>
      <c r="F1394" s="655">
        <v>62060</v>
      </c>
      <c r="G1394" s="656" t="s">
        <v>81</v>
      </c>
      <c r="H1394" s="656" t="s">
        <v>1183</v>
      </c>
      <c r="I1394" s="656" t="s">
        <v>58</v>
      </c>
      <c r="J1394" s="655">
        <v>22</v>
      </c>
      <c r="K1394" s="655">
        <v>2</v>
      </c>
      <c r="L1394" s="656" t="s">
        <v>52</v>
      </c>
      <c r="M1394" s="656" t="s">
        <v>448</v>
      </c>
      <c r="N1394" s="656" t="s">
        <v>449</v>
      </c>
      <c r="O1394" s="656" t="s">
        <v>449</v>
      </c>
      <c r="P1394" s="656" t="s">
        <v>1176</v>
      </c>
      <c r="Q1394" s="657">
        <v>0</v>
      </c>
      <c r="R1394" s="657">
        <v>0</v>
      </c>
      <c r="S1394" s="657">
        <v>13838</v>
      </c>
      <c r="T1394" s="657">
        <v>13838</v>
      </c>
      <c r="U1394" s="657">
        <v>1565</v>
      </c>
      <c r="V1394" s="655">
        <v>2021</v>
      </c>
      <c r="W1394" s="659"/>
      <c r="X1394" s="660">
        <f t="shared" si="65"/>
        <v>8.8421725239616613</v>
      </c>
      <c r="Y1394" s="661" t="str">
        <f t="shared" si="63"/>
        <v/>
      </c>
      <c r="Z1394" s="661" t="str">
        <f t="shared" si="64"/>
        <v/>
      </c>
    </row>
    <row r="1395" spans="1:26" s="128" customFormat="1">
      <c r="A1395" s="655">
        <v>59363</v>
      </c>
      <c r="B1395" s="656" t="s">
        <v>33</v>
      </c>
      <c r="C1395" s="655" t="s">
        <v>2793</v>
      </c>
      <c r="D1395" s="656" t="s">
        <v>1740</v>
      </c>
      <c r="E1395" s="656" t="s">
        <v>2326</v>
      </c>
      <c r="F1395" s="655">
        <v>62060</v>
      </c>
      <c r="G1395" s="656" t="s">
        <v>81</v>
      </c>
      <c r="H1395" s="656" t="s">
        <v>1183</v>
      </c>
      <c r="I1395" s="656" t="s">
        <v>58</v>
      </c>
      <c r="J1395" s="655">
        <v>22</v>
      </c>
      <c r="K1395" s="655">
        <v>2</v>
      </c>
      <c r="L1395" s="656" t="s">
        <v>52</v>
      </c>
      <c r="M1395" s="656" t="s">
        <v>448</v>
      </c>
      <c r="N1395" s="656" t="s">
        <v>449</v>
      </c>
      <c r="O1395" s="656" t="s">
        <v>449</v>
      </c>
      <c r="P1395" s="656" t="s">
        <v>1176</v>
      </c>
      <c r="Q1395" s="657">
        <v>0</v>
      </c>
      <c r="R1395" s="657">
        <v>0</v>
      </c>
      <c r="S1395" s="657">
        <v>10398</v>
      </c>
      <c r="T1395" s="657">
        <v>10398</v>
      </c>
      <c r="U1395" s="657">
        <v>1176</v>
      </c>
      <c r="V1395" s="655">
        <v>2021</v>
      </c>
      <c r="W1395" s="659"/>
      <c r="X1395" s="660">
        <f t="shared" si="65"/>
        <v>8.841836734693878</v>
      </c>
      <c r="Y1395" s="661" t="str">
        <f t="shared" si="63"/>
        <v/>
      </c>
      <c r="Z1395" s="661" t="str">
        <f t="shared" si="64"/>
        <v/>
      </c>
    </row>
    <row r="1396" spans="1:26" s="128" customFormat="1">
      <c r="A1396" s="655">
        <v>59368</v>
      </c>
      <c r="B1396" s="656" t="s">
        <v>33</v>
      </c>
      <c r="C1396" s="655" t="s">
        <v>2793</v>
      </c>
      <c r="D1396" s="656" t="s">
        <v>1741</v>
      </c>
      <c r="E1396" s="656" t="s">
        <v>1738</v>
      </c>
      <c r="F1396" s="655">
        <v>58258</v>
      </c>
      <c r="G1396" s="656" t="s">
        <v>81</v>
      </c>
      <c r="H1396" s="656" t="s">
        <v>1183</v>
      </c>
      <c r="I1396" s="656" t="s">
        <v>58</v>
      </c>
      <c r="J1396" s="655">
        <v>22</v>
      </c>
      <c r="K1396" s="655">
        <v>2</v>
      </c>
      <c r="L1396" s="656" t="s">
        <v>52</v>
      </c>
      <c r="M1396" s="656" t="s">
        <v>448</v>
      </c>
      <c r="N1396" s="656" t="s">
        <v>449</v>
      </c>
      <c r="O1396" s="656" t="s">
        <v>449</v>
      </c>
      <c r="P1396" s="656" t="s">
        <v>1176</v>
      </c>
      <c r="Q1396" s="657">
        <v>0</v>
      </c>
      <c r="R1396" s="657">
        <v>0</v>
      </c>
      <c r="S1396" s="657">
        <v>18041</v>
      </c>
      <c r="T1396" s="657">
        <v>18041</v>
      </c>
      <c r="U1396" s="657">
        <v>2040</v>
      </c>
      <c r="V1396" s="655">
        <v>2021</v>
      </c>
      <c r="W1396" s="659"/>
      <c r="X1396" s="660">
        <f t="shared" si="65"/>
        <v>8.8436274509803923</v>
      </c>
      <c r="Y1396" s="661" t="str">
        <f t="shared" si="63"/>
        <v/>
      </c>
      <c r="Z1396" s="661" t="str">
        <f t="shared" si="64"/>
        <v/>
      </c>
    </row>
    <row r="1397" spans="1:26" s="128" customFormat="1">
      <c r="A1397" s="655">
        <v>59390</v>
      </c>
      <c r="B1397" s="656" t="s">
        <v>33</v>
      </c>
      <c r="C1397" s="655" t="s">
        <v>2793</v>
      </c>
      <c r="D1397" s="656" t="s">
        <v>1742</v>
      </c>
      <c r="E1397" s="656" t="s">
        <v>1633</v>
      </c>
      <c r="F1397" s="655">
        <v>58677</v>
      </c>
      <c r="G1397" s="656" t="s">
        <v>81</v>
      </c>
      <c r="H1397" s="656" t="s">
        <v>1183</v>
      </c>
      <c r="I1397" s="656" t="s">
        <v>58</v>
      </c>
      <c r="J1397" s="655">
        <v>22</v>
      </c>
      <c r="K1397" s="655">
        <v>2</v>
      </c>
      <c r="L1397" s="656" t="s">
        <v>52</v>
      </c>
      <c r="M1397" s="656" t="s">
        <v>448</v>
      </c>
      <c r="N1397" s="656" t="s">
        <v>449</v>
      </c>
      <c r="O1397" s="656" t="s">
        <v>449</v>
      </c>
      <c r="P1397" s="656" t="s">
        <v>1176</v>
      </c>
      <c r="Q1397" s="657">
        <v>0</v>
      </c>
      <c r="R1397" s="657">
        <v>0</v>
      </c>
      <c r="S1397" s="657">
        <v>59283</v>
      </c>
      <c r="T1397" s="657">
        <v>59283</v>
      </c>
      <c r="U1397" s="657">
        <v>6704</v>
      </c>
      <c r="V1397" s="655">
        <v>2021</v>
      </c>
      <c r="W1397" s="659"/>
      <c r="X1397" s="660">
        <f t="shared" si="65"/>
        <v>8.8429295942720767</v>
      </c>
      <c r="Y1397" s="661" t="str">
        <f t="shared" si="63"/>
        <v/>
      </c>
      <c r="Z1397" s="661" t="str">
        <f t="shared" si="64"/>
        <v/>
      </c>
    </row>
    <row r="1398" spans="1:26" s="128" customFormat="1">
      <c r="A1398" s="655">
        <v>59394</v>
      </c>
      <c r="B1398" s="656" t="s">
        <v>33</v>
      </c>
      <c r="C1398" s="655" t="s">
        <v>2793</v>
      </c>
      <c r="D1398" s="656" t="s">
        <v>1743</v>
      </c>
      <c r="E1398" s="656" t="s">
        <v>1675</v>
      </c>
      <c r="F1398" s="655">
        <v>58440</v>
      </c>
      <c r="G1398" s="656" t="s">
        <v>81</v>
      </c>
      <c r="H1398" s="656" t="s">
        <v>1183</v>
      </c>
      <c r="I1398" s="656" t="s">
        <v>58</v>
      </c>
      <c r="J1398" s="655">
        <v>22</v>
      </c>
      <c r="K1398" s="655">
        <v>2</v>
      </c>
      <c r="L1398" s="656" t="s">
        <v>52</v>
      </c>
      <c r="M1398" s="656" t="s">
        <v>448</v>
      </c>
      <c r="N1398" s="656" t="s">
        <v>449</v>
      </c>
      <c r="O1398" s="656" t="s">
        <v>449</v>
      </c>
      <c r="P1398" s="656" t="s">
        <v>1176</v>
      </c>
      <c r="Q1398" s="657">
        <v>0</v>
      </c>
      <c r="R1398" s="657">
        <v>0</v>
      </c>
      <c r="S1398" s="657">
        <v>19137</v>
      </c>
      <c r="T1398" s="657">
        <v>19137</v>
      </c>
      <c r="U1398" s="657">
        <v>2164</v>
      </c>
      <c r="V1398" s="655">
        <v>2021</v>
      </c>
      <c r="W1398" s="659"/>
      <c r="X1398" s="660">
        <f t="shared" si="65"/>
        <v>8.8433456561922359</v>
      </c>
      <c r="Y1398" s="661" t="str">
        <f t="shared" si="63"/>
        <v/>
      </c>
      <c r="Z1398" s="661" t="str">
        <f t="shared" si="64"/>
        <v/>
      </c>
    </row>
    <row r="1399" spans="1:26" s="128" customFormat="1">
      <c r="A1399" s="655">
        <v>59396</v>
      </c>
      <c r="B1399" s="656" t="s">
        <v>33</v>
      </c>
      <c r="C1399" s="655" t="s">
        <v>2793</v>
      </c>
      <c r="D1399" s="656" t="s">
        <v>1744</v>
      </c>
      <c r="E1399" s="656" t="s">
        <v>1745</v>
      </c>
      <c r="F1399" s="655">
        <v>59174</v>
      </c>
      <c r="G1399" s="656" t="s">
        <v>81</v>
      </c>
      <c r="H1399" s="656" t="s">
        <v>1183</v>
      </c>
      <c r="I1399" s="656" t="s">
        <v>58</v>
      </c>
      <c r="J1399" s="655">
        <v>22</v>
      </c>
      <c r="K1399" s="655">
        <v>2</v>
      </c>
      <c r="L1399" s="656" t="s">
        <v>52</v>
      </c>
      <c r="M1399" s="656" t="s">
        <v>448</v>
      </c>
      <c r="N1399" s="656" t="s">
        <v>449</v>
      </c>
      <c r="O1399" s="656" t="s">
        <v>449</v>
      </c>
      <c r="P1399" s="656" t="s">
        <v>1176</v>
      </c>
      <c r="Q1399" s="657">
        <v>0</v>
      </c>
      <c r="R1399" s="657">
        <v>0</v>
      </c>
      <c r="S1399" s="657">
        <v>56090</v>
      </c>
      <c r="T1399" s="657">
        <v>56090</v>
      </c>
      <c r="U1399" s="657">
        <v>6343</v>
      </c>
      <c r="V1399" s="655">
        <v>2021</v>
      </c>
      <c r="W1399" s="659"/>
      <c r="X1399" s="660">
        <f t="shared" si="65"/>
        <v>8.8428188554311848</v>
      </c>
      <c r="Y1399" s="661" t="str">
        <f t="shared" si="63"/>
        <v/>
      </c>
      <c r="Z1399" s="661" t="str">
        <f t="shared" si="64"/>
        <v/>
      </c>
    </row>
    <row r="1400" spans="1:26" s="128" customFormat="1" ht="25" hidden="1">
      <c r="A1400" s="655">
        <v>59415</v>
      </c>
      <c r="B1400" s="656" t="s">
        <v>33</v>
      </c>
      <c r="C1400" s="655" t="s">
        <v>2793</v>
      </c>
      <c r="D1400" s="656" t="s">
        <v>1746</v>
      </c>
      <c r="E1400" s="656" t="s">
        <v>377</v>
      </c>
      <c r="F1400" s="655">
        <v>4180</v>
      </c>
      <c r="G1400" s="656" t="s">
        <v>41</v>
      </c>
      <c r="H1400" s="656" t="s">
        <v>1183</v>
      </c>
      <c r="I1400" s="656" t="s">
        <v>58</v>
      </c>
      <c r="J1400" s="655">
        <v>22</v>
      </c>
      <c r="K1400" s="655">
        <v>1</v>
      </c>
      <c r="L1400" s="656" t="s">
        <v>34</v>
      </c>
      <c r="M1400" s="656" t="s">
        <v>51</v>
      </c>
      <c r="N1400" s="656" t="s">
        <v>46</v>
      </c>
      <c r="O1400" s="656" t="s">
        <v>46</v>
      </c>
      <c r="P1400" s="656" t="s">
        <v>47</v>
      </c>
      <c r="Q1400" s="657">
        <v>1648</v>
      </c>
      <c r="R1400" s="657">
        <v>1648</v>
      </c>
      <c r="S1400" s="657">
        <v>9591</v>
      </c>
      <c r="T1400" s="657">
        <v>9591</v>
      </c>
      <c r="U1400" s="657">
        <v>952</v>
      </c>
      <c r="V1400" s="655">
        <v>2021</v>
      </c>
      <c r="W1400" s="659"/>
      <c r="X1400" s="660">
        <f t="shared" si="65"/>
        <v>10.074579831932773</v>
      </c>
      <c r="Y1400" s="661" t="str">
        <f t="shared" si="63"/>
        <v/>
      </c>
      <c r="Z1400" s="661" t="str">
        <f t="shared" si="64"/>
        <v/>
      </c>
    </row>
    <row r="1401" spans="1:26" s="128" customFormat="1" ht="25" hidden="1">
      <c r="A1401" s="655">
        <v>59437</v>
      </c>
      <c r="B1401" s="656" t="s">
        <v>33</v>
      </c>
      <c r="C1401" s="655" t="s">
        <v>2793</v>
      </c>
      <c r="D1401" s="656" t="s">
        <v>1747</v>
      </c>
      <c r="E1401" s="656" t="s">
        <v>1567</v>
      </c>
      <c r="F1401" s="655">
        <v>59178</v>
      </c>
      <c r="G1401" s="656" t="s">
        <v>90</v>
      </c>
      <c r="H1401" s="656" t="s">
        <v>1183</v>
      </c>
      <c r="I1401" s="656" t="s">
        <v>58</v>
      </c>
      <c r="J1401" s="655">
        <v>22</v>
      </c>
      <c r="K1401" s="655">
        <v>2</v>
      </c>
      <c r="L1401" s="656" t="s">
        <v>52</v>
      </c>
      <c r="M1401" s="656" t="s">
        <v>35</v>
      </c>
      <c r="N1401" s="656" t="s">
        <v>36</v>
      </c>
      <c r="O1401" s="656" t="s">
        <v>37</v>
      </c>
      <c r="P1401" s="656" t="s">
        <v>1176</v>
      </c>
      <c r="Q1401" s="657">
        <v>0</v>
      </c>
      <c r="R1401" s="657">
        <v>0</v>
      </c>
      <c r="S1401" s="657">
        <v>107691</v>
      </c>
      <c r="T1401" s="657">
        <v>107691</v>
      </c>
      <c r="U1401" s="657">
        <v>12178</v>
      </c>
      <c r="V1401" s="655">
        <v>2021</v>
      </c>
      <c r="W1401" s="659"/>
      <c r="X1401" s="660">
        <f t="shared" si="65"/>
        <v>8.843077681064214</v>
      </c>
      <c r="Y1401" s="661" t="str">
        <f t="shared" si="63"/>
        <v/>
      </c>
      <c r="Z1401" s="661" t="str">
        <f t="shared" si="64"/>
        <v/>
      </c>
    </row>
    <row r="1402" spans="1:26" s="128" customFormat="1" ht="25" hidden="1">
      <c r="A1402" s="655">
        <v>59438</v>
      </c>
      <c r="B1402" s="656" t="s">
        <v>33</v>
      </c>
      <c r="C1402" s="655" t="s">
        <v>2793</v>
      </c>
      <c r="D1402" s="656" t="s">
        <v>1748</v>
      </c>
      <c r="E1402" s="656" t="s">
        <v>1567</v>
      </c>
      <c r="F1402" s="655">
        <v>59178</v>
      </c>
      <c r="G1402" s="656" t="s">
        <v>90</v>
      </c>
      <c r="H1402" s="656" t="s">
        <v>1183</v>
      </c>
      <c r="I1402" s="656" t="s">
        <v>58</v>
      </c>
      <c r="J1402" s="655">
        <v>22</v>
      </c>
      <c r="K1402" s="655">
        <v>2</v>
      </c>
      <c r="L1402" s="656" t="s">
        <v>52</v>
      </c>
      <c r="M1402" s="656" t="s">
        <v>35</v>
      </c>
      <c r="N1402" s="656" t="s">
        <v>36</v>
      </c>
      <c r="O1402" s="656" t="s">
        <v>37</v>
      </c>
      <c r="P1402" s="656" t="s">
        <v>1176</v>
      </c>
      <c r="Q1402" s="657">
        <v>0</v>
      </c>
      <c r="R1402" s="657">
        <v>0</v>
      </c>
      <c r="S1402" s="657">
        <v>139782</v>
      </c>
      <c r="T1402" s="657">
        <v>139782</v>
      </c>
      <c r="U1402" s="657">
        <v>15807</v>
      </c>
      <c r="V1402" s="655">
        <v>2021</v>
      </c>
      <c r="W1402" s="659"/>
      <c r="X1402" s="660">
        <f t="shared" si="65"/>
        <v>8.8430442209147841</v>
      </c>
      <c r="Y1402" s="661" t="str">
        <f t="shared" si="63"/>
        <v/>
      </c>
      <c r="Z1402" s="661" t="str">
        <f t="shared" si="64"/>
        <v/>
      </c>
    </row>
    <row r="1403" spans="1:26" s="128" customFormat="1" ht="25" hidden="1">
      <c r="A1403" s="655">
        <v>59445</v>
      </c>
      <c r="B1403" s="656" t="s">
        <v>33</v>
      </c>
      <c r="C1403" s="655" t="s">
        <v>2793</v>
      </c>
      <c r="D1403" s="656" t="s">
        <v>1749</v>
      </c>
      <c r="E1403" s="656" t="s">
        <v>2334</v>
      </c>
      <c r="F1403" s="655">
        <v>59215</v>
      </c>
      <c r="G1403" s="656" t="s">
        <v>89</v>
      </c>
      <c r="H1403" s="656" t="s">
        <v>1183</v>
      </c>
      <c r="I1403" s="656" t="s">
        <v>58</v>
      </c>
      <c r="J1403" s="655">
        <v>22</v>
      </c>
      <c r="K1403" s="655">
        <v>2</v>
      </c>
      <c r="L1403" s="656" t="s">
        <v>52</v>
      </c>
      <c r="M1403" s="656" t="s">
        <v>448</v>
      </c>
      <c r="N1403" s="656" t="s">
        <v>449</v>
      </c>
      <c r="O1403" s="656" t="s">
        <v>449</v>
      </c>
      <c r="P1403" s="656" t="s">
        <v>1176</v>
      </c>
      <c r="Q1403" s="657">
        <v>0</v>
      </c>
      <c r="R1403" s="657">
        <v>0</v>
      </c>
      <c r="S1403" s="657">
        <v>23637</v>
      </c>
      <c r="T1403" s="657">
        <v>23637</v>
      </c>
      <c r="U1403" s="657">
        <v>2673</v>
      </c>
      <c r="V1403" s="655">
        <v>2021</v>
      </c>
      <c r="W1403" s="659"/>
      <c r="X1403" s="660">
        <f t="shared" si="65"/>
        <v>8.8428731762065098</v>
      </c>
      <c r="Y1403" s="661" t="str">
        <f t="shared" si="63"/>
        <v/>
      </c>
      <c r="Z1403" s="661" t="str">
        <f t="shared" si="64"/>
        <v/>
      </c>
    </row>
    <row r="1404" spans="1:26" s="128" customFormat="1" ht="25" hidden="1">
      <c r="A1404" s="655">
        <v>59453</v>
      </c>
      <c r="B1404" s="656" t="s">
        <v>54</v>
      </c>
      <c r="C1404" s="655" t="s">
        <v>2793</v>
      </c>
      <c r="D1404" s="656" t="s">
        <v>1750</v>
      </c>
      <c r="E1404" s="656" t="s">
        <v>1751</v>
      </c>
      <c r="F1404" s="655">
        <v>59219</v>
      </c>
      <c r="G1404" s="656" t="s">
        <v>57</v>
      </c>
      <c r="H1404" s="656" t="s">
        <v>1182</v>
      </c>
      <c r="I1404" s="656" t="s">
        <v>58</v>
      </c>
      <c r="J1404" s="655">
        <v>622</v>
      </c>
      <c r="K1404" s="655">
        <v>5</v>
      </c>
      <c r="L1404" s="656" t="s">
        <v>413</v>
      </c>
      <c r="M1404" s="656" t="s">
        <v>50</v>
      </c>
      <c r="N1404" s="656" t="s">
        <v>39</v>
      </c>
      <c r="O1404" s="656" t="s">
        <v>39</v>
      </c>
      <c r="P1404" s="656" t="s">
        <v>1037</v>
      </c>
      <c r="Q1404" s="657">
        <v>539158</v>
      </c>
      <c r="R1404" s="657">
        <v>187347</v>
      </c>
      <c r="S1404" s="657">
        <v>555332</v>
      </c>
      <c r="T1404" s="657">
        <v>192968</v>
      </c>
      <c r="U1404" s="657">
        <v>32713</v>
      </c>
      <c r="V1404" s="655">
        <v>2021</v>
      </c>
      <c r="W1404" s="659"/>
      <c r="X1404" s="660" t="str">
        <f t="shared" si="65"/>
        <v/>
      </c>
      <c r="Y1404" s="661">
        <f t="shared" si="63"/>
        <v>6.5291850569874592</v>
      </c>
      <c r="Z1404" s="661" t="str">
        <f t="shared" si="64"/>
        <v/>
      </c>
    </row>
    <row r="1405" spans="1:26" s="128" customFormat="1" ht="25">
      <c r="A1405" s="655">
        <v>59463</v>
      </c>
      <c r="B1405" s="656" t="s">
        <v>33</v>
      </c>
      <c r="C1405" s="655" t="s">
        <v>2793</v>
      </c>
      <c r="D1405" s="656" t="s">
        <v>1752</v>
      </c>
      <c r="E1405" s="656" t="s">
        <v>1753</v>
      </c>
      <c r="F1405" s="655">
        <v>59230</v>
      </c>
      <c r="G1405" s="656" t="s">
        <v>81</v>
      </c>
      <c r="H1405" s="656" t="s">
        <v>1183</v>
      </c>
      <c r="I1405" s="656" t="s">
        <v>58</v>
      </c>
      <c r="J1405" s="655">
        <v>22</v>
      </c>
      <c r="K1405" s="655">
        <v>2</v>
      </c>
      <c r="L1405" s="656" t="s">
        <v>52</v>
      </c>
      <c r="M1405" s="656" t="s">
        <v>448</v>
      </c>
      <c r="N1405" s="656" t="s">
        <v>449</v>
      </c>
      <c r="O1405" s="656" t="s">
        <v>449</v>
      </c>
      <c r="P1405" s="656" t="s">
        <v>1176</v>
      </c>
      <c r="Q1405" s="657">
        <v>0</v>
      </c>
      <c r="R1405" s="657">
        <v>0</v>
      </c>
      <c r="S1405" s="657">
        <v>23417</v>
      </c>
      <c r="T1405" s="657">
        <v>23417</v>
      </c>
      <c r="U1405" s="657">
        <v>2648</v>
      </c>
      <c r="V1405" s="655">
        <v>2021</v>
      </c>
      <c r="W1405" s="659"/>
      <c r="X1405" s="660">
        <f t="shared" si="65"/>
        <v>8.8432779456193362</v>
      </c>
      <c r="Y1405" s="661" t="str">
        <f t="shared" si="63"/>
        <v/>
      </c>
      <c r="Z1405" s="661" t="str">
        <f t="shared" si="64"/>
        <v/>
      </c>
    </row>
    <row r="1406" spans="1:26" s="128" customFormat="1" ht="25">
      <c r="A1406" s="655">
        <v>59464</v>
      </c>
      <c r="B1406" s="656" t="s">
        <v>33</v>
      </c>
      <c r="C1406" s="655" t="s">
        <v>2793</v>
      </c>
      <c r="D1406" s="656" t="s">
        <v>1754</v>
      </c>
      <c r="E1406" s="656" t="s">
        <v>1753</v>
      </c>
      <c r="F1406" s="655">
        <v>59230</v>
      </c>
      <c r="G1406" s="656" t="s">
        <v>81</v>
      </c>
      <c r="H1406" s="656" t="s">
        <v>1183</v>
      </c>
      <c r="I1406" s="656" t="s">
        <v>58</v>
      </c>
      <c r="J1406" s="655">
        <v>22</v>
      </c>
      <c r="K1406" s="655">
        <v>2</v>
      </c>
      <c r="L1406" s="656" t="s">
        <v>52</v>
      </c>
      <c r="M1406" s="656" t="s">
        <v>448</v>
      </c>
      <c r="N1406" s="656" t="s">
        <v>449</v>
      </c>
      <c r="O1406" s="656" t="s">
        <v>449</v>
      </c>
      <c r="P1406" s="656" t="s">
        <v>1176</v>
      </c>
      <c r="Q1406" s="657">
        <v>0</v>
      </c>
      <c r="R1406" s="657">
        <v>0</v>
      </c>
      <c r="S1406" s="657">
        <v>36399</v>
      </c>
      <c r="T1406" s="657">
        <v>36399</v>
      </c>
      <c r="U1406" s="657">
        <v>4116</v>
      </c>
      <c r="V1406" s="655">
        <v>2021</v>
      </c>
      <c r="W1406" s="659"/>
      <c r="X1406" s="660">
        <f t="shared" si="65"/>
        <v>8.843294460641399</v>
      </c>
      <c r="Y1406" s="661" t="str">
        <f t="shared" si="63"/>
        <v/>
      </c>
      <c r="Z1406" s="661" t="str">
        <f t="shared" si="64"/>
        <v/>
      </c>
    </row>
    <row r="1407" spans="1:26" s="128" customFormat="1" ht="25">
      <c r="A1407" s="655">
        <v>59465</v>
      </c>
      <c r="B1407" s="656" t="s">
        <v>33</v>
      </c>
      <c r="C1407" s="655" t="s">
        <v>2793</v>
      </c>
      <c r="D1407" s="656" t="s">
        <v>1755</v>
      </c>
      <c r="E1407" s="656" t="s">
        <v>1753</v>
      </c>
      <c r="F1407" s="655">
        <v>59230</v>
      </c>
      <c r="G1407" s="656" t="s">
        <v>81</v>
      </c>
      <c r="H1407" s="656" t="s">
        <v>1183</v>
      </c>
      <c r="I1407" s="656" t="s">
        <v>58</v>
      </c>
      <c r="J1407" s="655">
        <v>22</v>
      </c>
      <c r="K1407" s="655">
        <v>2</v>
      </c>
      <c r="L1407" s="656" t="s">
        <v>52</v>
      </c>
      <c r="M1407" s="656" t="s">
        <v>448</v>
      </c>
      <c r="N1407" s="656" t="s">
        <v>449</v>
      </c>
      <c r="O1407" s="656" t="s">
        <v>449</v>
      </c>
      <c r="P1407" s="656" t="s">
        <v>1176</v>
      </c>
      <c r="Q1407" s="657">
        <v>0</v>
      </c>
      <c r="R1407" s="657">
        <v>0</v>
      </c>
      <c r="S1407" s="657">
        <v>20066</v>
      </c>
      <c r="T1407" s="657">
        <v>20066</v>
      </c>
      <c r="U1407" s="657">
        <v>2269</v>
      </c>
      <c r="V1407" s="655">
        <v>2021</v>
      </c>
      <c r="W1407" s="659"/>
      <c r="X1407" s="660">
        <f t="shared" si="65"/>
        <v>8.8435434111943589</v>
      </c>
      <c r="Y1407" s="661" t="str">
        <f t="shared" si="63"/>
        <v/>
      </c>
      <c r="Z1407" s="661" t="str">
        <f t="shared" si="64"/>
        <v/>
      </c>
    </row>
    <row r="1408" spans="1:26" s="128" customFormat="1" ht="25">
      <c r="A1408" s="655">
        <v>59466</v>
      </c>
      <c r="B1408" s="656" t="s">
        <v>33</v>
      </c>
      <c r="C1408" s="655" t="s">
        <v>2793</v>
      </c>
      <c r="D1408" s="656" t="s">
        <v>1756</v>
      </c>
      <c r="E1408" s="656" t="s">
        <v>1753</v>
      </c>
      <c r="F1408" s="655">
        <v>59230</v>
      </c>
      <c r="G1408" s="656" t="s">
        <v>81</v>
      </c>
      <c r="H1408" s="656" t="s">
        <v>1183</v>
      </c>
      <c r="I1408" s="656" t="s">
        <v>58</v>
      </c>
      <c r="J1408" s="655">
        <v>22</v>
      </c>
      <c r="K1408" s="655">
        <v>2</v>
      </c>
      <c r="L1408" s="656" t="s">
        <v>52</v>
      </c>
      <c r="M1408" s="656" t="s">
        <v>448</v>
      </c>
      <c r="N1408" s="656" t="s">
        <v>449</v>
      </c>
      <c r="O1408" s="656" t="s">
        <v>449</v>
      </c>
      <c r="P1408" s="656" t="s">
        <v>1176</v>
      </c>
      <c r="Q1408" s="657">
        <v>0</v>
      </c>
      <c r="R1408" s="657">
        <v>0</v>
      </c>
      <c r="S1408" s="657">
        <v>22914</v>
      </c>
      <c r="T1408" s="657">
        <v>22914</v>
      </c>
      <c r="U1408" s="657">
        <v>2591</v>
      </c>
      <c r="V1408" s="655">
        <v>2021</v>
      </c>
      <c r="W1408" s="659"/>
      <c r="X1408" s="660">
        <f t="shared" si="65"/>
        <v>8.8436896950984174</v>
      </c>
      <c r="Y1408" s="661" t="str">
        <f t="shared" si="63"/>
        <v/>
      </c>
      <c r="Z1408" s="661" t="str">
        <f t="shared" si="64"/>
        <v/>
      </c>
    </row>
    <row r="1409" spans="1:26" s="128" customFormat="1">
      <c r="A1409" s="655">
        <v>59468</v>
      </c>
      <c r="B1409" s="656" t="s">
        <v>33</v>
      </c>
      <c r="C1409" s="655" t="s">
        <v>2793</v>
      </c>
      <c r="D1409" s="656" t="s">
        <v>1757</v>
      </c>
      <c r="E1409" s="656" t="s">
        <v>1758</v>
      </c>
      <c r="F1409" s="655">
        <v>59232</v>
      </c>
      <c r="G1409" s="656" t="s">
        <v>81</v>
      </c>
      <c r="H1409" s="656" t="s">
        <v>1183</v>
      </c>
      <c r="I1409" s="656" t="s">
        <v>58</v>
      </c>
      <c r="J1409" s="655">
        <v>22</v>
      </c>
      <c r="K1409" s="655">
        <v>2</v>
      </c>
      <c r="L1409" s="656" t="s">
        <v>52</v>
      </c>
      <c r="M1409" s="656" t="s">
        <v>448</v>
      </c>
      <c r="N1409" s="656" t="s">
        <v>449</v>
      </c>
      <c r="O1409" s="656" t="s">
        <v>449</v>
      </c>
      <c r="P1409" s="656" t="s">
        <v>1176</v>
      </c>
      <c r="Q1409" s="657">
        <v>0</v>
      </c>
      <c r="R1409" s="657">
        <v>0</v>
      </c>
      <c r="S1409" s="657">
        <v>25423</v>
      </c>
      <c r="T1409" s="657">
        <v>25423</v>
      </c>
      <c r="U1409" s="657">
        <v>2875</v>
      </c>
      <c r="V1409" s="655">
        <v>2021</v>
      </c>
      <c r="W1409" s="659"/>
      <c r="X1409" s="660">
        <f t="shared" si="65"/>
        <v>8.8427826086956518</v>
      </c>
      <c r="Y1409" s="661" t="str">
        <f t="shared" si="63"/>
        <v/>
      </c>
      <c r="Z1409" s="661" t="str">
        <f t="shared" si="64"/>
        <v/>
      </c>
    </row>
    <row r="1410" spans="1:26" s="128" customFormat="1" ht="25" hidden="1">
      <c r="A1410" s="655">
        <v>59470</v>
      </c>
      <c r="B1410" s="656" t="s">
        <v>33</v>
      </c>
      <c r="C1410" s="655" t="s">
        <v>2793</v>
      </c>
      <c r="D1410" s="656" t="s">
        <v>1759</v>
      </c>
      <c r="E1410" s="656" t="s">
        <v>1760</v>
      </c>
      <c r="F1410" s="655">
        <v>59237</v>
      </c>
      <c r="G1410" s="656" t="s">
        <v>57</v>
      </c>
      <c r="H1410" s="656" t="s">
        <v>1182</v>
      </c>
      <c r="I1410" s="656" t="s">
        <v>58</v>
      </c>
      <c r="J1410" s="655">
        <v>22</v>
      </c>
      <c r="K1410" s="655">
        <v>2</v>
      </c>
      <c r="L1410" s="656" t="s">
        <v>52</v>
      </c>
      <c r="M1410" s="656" t="s">
        <v>448</v>
      </c>
      <c r="N1410" s="656" t="s">
        <v>449</v>
      </c>
      <c r="O1410" s="656" t="s">
        <v>449</v>
      </c>
      <c r="P1410" s="656" t="s">
        <v>1176</v>
      </c>
      <c r="Q1410" s="657">
        <v>0</v>
      </c>
      <c r="R1410" s="657">
        <v>0</v>
      </c>
      <c r="S1410" s="657">
        <v>15219</v>
      </c>
      <c r="T1410" s="657">
        <v>15219</v>
      </c>
      <c r="U1410" s="657">
        <v>1721</v>
      </c>
      <c r="V1410" s="655">
        <v>2021</v>
      </c>
      <c r="W1410" s="659"/>
      <c r="X1410" s="660">
        <f t="shared" si="65"/>
        <v>8.8431144683323648</v>
      </c>
      <c r="Y1410" s="661" t="str">
        <f t="shared" si="63"/>
        <v/>
      </c>
      <c r="Z1410" s="661" t="str">
        <f t="shared" si="64"/>
        <v/>
      </c>
    </row>
    <row r="1411" spans="1:26" s="128" customFormat="1" hidden="1">
      <c r="A1411" s="655">
        <v>59476</v>
      </c>
      <c r="B1411" s="656" t="s">
        <v>33</v>
      </c>
      <c r="C1411" s="655" t="s">
        <v>2793</v>
      </c>
      <c r="D1411" s="656" t="s">
        <v>1761</v>
      </c>
      <c r="E1411" s="656" t="s">
        <v>1762</v>
      </c>
      <c r="F1411" s="655">
        <v>59240</v>
      </c>
      <c r="G1411" s="656" t="s">
        <v>89</v>
      </c>
      <c r="H1411" s="656" t="s">
        <v>1183</v>
      </c>
      <c r="I1411" s="656" t="s">
        <v>58</v>
      </c>
      <c r="J1411" s="655">
        <v>22</v>
      </c>
      <c r="K1411" s="655">
        <v>2</v>
      </c>
      <c r="L1411" s="656" t="s">
        <v>52</v>
      </c>
      <c r="M1411" s="656" t="s">
        <v>448</v>
      </c>
      <c r="N1411" s="656" t="s">
        <v>449</v>
      </c>
      <c r="O1411" s="656" t="s">
        <v>449</v>
      </c>
      <c r="P1411" s="656" t="s">
        <v>1176</v>
      </c>
      <c r="Q1411" s="657">
        <v>0</v>
      </c>
      <c r="R1411" s="657">
        <v>0</v>
      </c>
      <c r="S1411" s="657">
        <v>24316</v>
      </c>
      <c r="T1411" s="657">
        <v>24316</v>
      </c>
      <c r="U1411" s="657">
        <v>2750</v>
      </c>
      <c r="V1411" s="655">
        <v>2021</v>
      </c>
      <c r="W1411" s="659"/>
      <c r="X1411" s="660">
        <f t="shared" si="65"/>
        <v>8.8421818181818175</v>
      </c>
      <c r="Y1411" s="661" t="str">
        <f t="shared" si="63"/>
        <v/>
      </c>
      <c r="Z1411" s="661" t="str">
        <f t="shared" si="64"/>
        <v/>
      </c>
    </row>
    <row r="1412" spans="1:26" s="128" customFormat="1" hidden="1">
      <c r="A1412" s="655">
        <v>59477</v>
      </c>
      <c r="B1412" s="656" t="s">
        <v>33</v>
      </c>
      <c r="C1412" s="655" t="s">
        <v>2793</v>
      </c>
      <c r="D1412" s="656" t="s">
        <v>1763</v>
      </c>
      <c r="E1412" s="656" t="s">
        <v>1764</v>
      </c>
      <c r="F1412" s="655">
        <v>59241</v>
      </c>
      <c r="G1412" s="656" t="s">
        <v>89</v>
      </c>
      <c r="H1412" s="656" t="s">
        <v>1183</v>
      </c>
      <c r="I1412" s="656" t="s">
        <v>58</v>
      </c>
      <c r="J1412" s="655">
        <v>22</v>
      </c>
      <c r="K1412" s="655">
        <v>2</v>
      </c>
      <c r="L1412" s="656" t="s">
        <v>52</v>
      </c>
      <c r="M1412" s="656" t="s">
        <v>448</v>
      </c>
      <c r="N1412" s="656" t="s">
        <v>449</v>
      </c>
      <c r="O1412" s="656" t="s">
        <v>449</v>
      </c>
      <c r="P1412" s="656" t="s">
        <v>1176</v>
      </c>
      <c r="Q1412" s="657">
        <v>0</v>
      </c>
      <c r="R1412" s="657">
        <v>0</v>
      </c>
      <c r="S1412" s="657">
        <v>28395</v>
      </c>
      <c r="T1412" s="657">
        <v>28395</v>
      </c>
      <c r="U1412" s="657">
        <v>3211</v>
      </c>
      <c r="V1412" s="655">
        <v>2021</v>
      </c>
      <c r="W1412" s="659"/>
      <c r="X1412" s="660">
        <f t="shared" si="65"/>
        <v>8.8430395515415761</v>
      </c>
      <c r="Y1412" s="661" t="str">
        <f t="shared" si="63"/>
        <v/>
      </c>
      <c r="Z1412" s="661" t="str">
        <f t="shared" si="64"/>
        <v/>
      </c>
    </row>
    <row r="1413" spans="1:26" s="128" customFormat="1">
      <c r="A1413" s="655">
        <v>59484</v>
      </c>
      <c r="B1413" s="656" t="s">
        <v>33</v>
      </c>
      <c r="C1413" s="655" t="s">
        <v>2793</v>
      </c>
      <c r="D1413" s="656" t="s">
        <v>2139</v>
      </c>
      <c r="E1413" s="656" t="s">
        <v>1765</v>
      </c>
      <c r="F1413" s="655">
        <v>59254</v>
      </c>
      <c r="G1413" s="656" t="s">
        <v>81</v>
      </c>
      <c r="H1413" s="656" t="s">
        <v>1183</v>
      </c>
      <c r="I1413" s="656" t="s">
        <v>58</v>
      </c>
      <c r="J1413" s="655">
        <v>22</v>
      </c>
      <c r="K1413" s="655">
        <v>2</v>
      </c>
      <c r="L1413" s="656" t="s">
        <v>52</v>
      </c>
      <c r="M1413" s="656" t="s">
        <v>448</v>
      </c>
      <c r="N1413" s="656" t="s">
        <v>449</v>
      </c>
      <c r="O1413" s="656" t="s">
        <v>449</v>
      </c>
      <c r="P1413" s="656" t="s">
        <v>1176</v>
      </c>
      <c r="Q1413" s="657">
        <v>0</v>
      </c>
      <c r="R1413" s="657">
        <v>0</v>
      </c>
      <c r="S1413" s="657">
        <v>30950</v>
      </c>
      <c r="T1413" s="657">
        <v>30950</v>
      </c>
      <c r="U1413" s="657">
        <v>3500</v>
      </c>
      <c r="V1413" s="655">
        <v>2021</v>
      </c>
      <c r="W1413" s="659"/>
      <c r="X1413" s="660">
        <f t="shared" si="65"/>
        <v>8.8428571428571434</v>
      </c>
      <c r="Y1413" s="661" t="str">
        <f t="shared" si="63"/>
        <v/>
      </c>
      <c r="Z1413" s="661" t="str">
        <f t="shared" si="64"/>
        <v/>
      </c>
    </row>
    <row r="1414" spans="1:26" s="128" customFormat="1" ht="25">
      <c r="A1414" s="655">
        <v>59485</v>
      </c>
      <c r="B1414" s="656" t="s">
        <v>33</v>
      </c>
      <c r="C1414" s="655" t="s">
        <v>2793</v>
      </c>
      <c r="D1414" s="656" t="s">
        <v>1766</v>
      </c>
      <c r="E1414" s="656" t="s">
        <v>1765</v>
      </c>
      <c r="F1414" s="655">
        <v>59254</v>
      </c>
      <c r="G1414" s="656" t="s">
        <v>81</v>
      </c>
      <c r="H1414" s="656" t="s">
        <v>1183</v>
      </c>
      <c r="I1414" s="656" t="s">
        <v>58</v>
      </c>
      <c r="J1414" s="655">
        <v>22</v>
      </c>
      <c r="K1414" s="655">
        <v>2</v>
      </c>
      <c r="L1414" s="656" t="s">
        <v>52</v>
      </c>
      <c r="M1414" s="656" t="s">
        <v>448</v>
      </c>
      <c r="N1414" s="656" t="s">
        <v>449</v>
      </c>
      <c r="O1414" s="656" t="s">
        <v>449</v>
      </c>
      <c r="P1414" s="656" t="s">
        <v>1176</v>
      </c>
      <c r="Q1414" s="657">
        <v>0</v>
      </c>
      <c r="R1414" s="657">
        <v>0</v>
      </c>
      <c r="S1414" s="657">
        <v>11964</v>
      </c>
      <c r="T1414" s="657">
        <v>11964</v>
      </c>
      <c r="U1414" s="657">
        <v>1353</v>
      </c>
      <c r="V1414" s="655">
        <v>2021</v>
      </c>
      <c r="W1414" s="659"/>
      <c r="X1414" s="660">
        <f t="shared" si="65"/>
        <v>8.8425720620842565</v>
      </c>
      <c r="Y1414" s="661" t="str">
        <f t="shared" si="63"/>
        <v/>
      </c>
      <c r="Z1414" s="661" t="str">
        <f t="shared" si="64"/>
        <v/>
      </c>
    </row>
    <row r="1415" spans="1:26" s="128" customFormat="1" ht="25" hidden="1">
      <c r="A1415" s="655">
        <v>59495</v>
      </c>
      <c r="B1415" s="656" t="s">
        <v>33</v>
      </c>
      <c r="C1415" s="655" t="s">
        <v>2793</v>
      </c>
      <c r="D1415" s="656" t="s">
        <v>1767</v>
      </c>
      <c r="E1415" s="656" t="s">
        <v>3372</v>
      </c>
      <c r="F1415" s="655">
        <v>61944</v>
      </c>
      <c r="G1415" s="656" t="s">
        <v>41</v>
      </c>
      <c r="H1415" s="656" t="s">
        <v>1183</v>
      </c>
      <c r="I1415" s="656" t="s">
        <v>58</v>
      </c>
      <c r="J1415" s="655">
        <v>22</v>
      </c>
      <c r="K1415" s="655">
        <v>2</v>
      </c>
      <c r="L1415" s="656" t="s">
        <v>52</v>
      </c>
      <c r="M1415" s="656" t="s">
        <v>448</v>
      </c>
      <c r="N1415" s="656" t="s">
        <v>449</v>
      </c>
      <c r="O1415" s="656" t="s">
        <v>449</v>
      </c>
      <c r="P1415" s="656" t="s">
        <v>1176</v>
      </c>
      <c r="Q1415" s="657">
        <v>0</v>
      </c>
      <c r="R1415" s="657">
        <v>0</v>
      </c>
      <c r="S1415" s="657">
        <v>53563</v>
      </c>
      <c r="T1415" s="657">
        <v>53563</v>
      </c>
      <c r="U1415" s="657">
        <v>6057</v>
      </c>
      <c r="V1415" s="655">
        <v>2021</v>
      </c>
      <c r="W1415" s="659"/>
      <c r="X1415" s="660">
        <f t="shared" si="65"/>
        <v>8.8431566782235436</v>
      </c>
      <c r="Y1415" s="661" t="str">
        <f t="shared" ref="Y1415:Y1478" si="66">IF(AND($M1415=$Y$2,$N1415=$Y$3,NOT($Q1415=$R1415),NOT($U1415=0)),IF($K1415=5,$S1415/($U1415+(8/5)*$U1415),IF($K1415=7,$S1415/($U1415+(29/25)*$U1415),"")),"")</f>
        <v/>
      </c>
      <c r="Z1415" s="661" t="str">
        <f t="shared" ref="Z1415:Z1478" si="67">IF(AND($M1415=$Y$2,$N1415=$Y$4,NOT($Q1415=$R1415),NOT($U1415=0)),IF($K1415=5,$S1415/($U1415+(8/5)*$U1415),IF($K1415=7,$S1415/($U1415+(29/25)*$U1415),"")),"")</f>
        <v/>
      </c>
    </row>
    <row r="1416" spans="1:26" s="128" customFormat="1" ht="25" hidden="1">
      <c r="A1416" s="655">
        <v>59543</v>
      </c>
      <c r="B1416" s="656" t="s">
        <v>33</v>
      </c>
      <c r="C1416" s="655" t="s">
        <v>2793</v>
      </c>
      <c r="D1416" s="656" t="s">
        <v>1768</v>
      </c>
      <c r="E1416" s="656" t="s">
        <v>1769</v>
      </c>
      <c r="F1416" s="655">
        <v>59286</v>
      </c>
      <c r="G1416" s="656" t="s">
        <v>81</v>
      </c>
      <c r="H1416" s="656" t="s">
        <v>1183</v>
      </c>
      <c r="I1416" s="656" t="s">
        <v>58</v>
      </c>
      <c r="J1416" s="655">
        <v>92</v>
      </c>
      <c r="K1416" s="655">
        <v>4</v>
      </c>
      <c r="L1416" s="656" t="s">
        <v>412</v>
      </c>
      <c r="M1416" s="656" t="s">
        <v>448</v>
      </c>
      <c r="N1416" s="656" t="s">
        <v>449</v>
      </c>
      <c r="O1416" s="656" t="s">
        <v>449</v>
      </c>
      <c r="P1416" s="656" t="s">
        <v>1176</v>
      </c>
      <c r="Q1416" s="657">
        <v>0</v>
      </c>
      <c r="R1416" s="657">
        <v>0</v>
      </c>
      <c r="S1416" s="657">
        <v>15990</v>
      </c>
      <c r="T1416" s="657">
        <v>15990</v>
      </c>
      <c r="U1416" s="657">
        <v>1808</v>
      </c>
      <c r="V1416" s="655">
        <v>2021</v>
      </c>
      <c r="W1416" s="659"/>
      <c r="X1416" s="660" t="str">
        <f t="shared" ref="X1416:X1479" si="68">IF(OR(K1416&gt;3,T1416=0,NOT(U1416&gt;0)),"",T1416/U1416)</f>
        <v/>
      </c>
      <c r="Y1416" s="661" t="str">
        <f t="shared" si="66"/>
        <v/>
      </c>
      <c r="Z1416" s="661" t="str">
        <f t="shared" si="67"/>
        <v/>
      </c>
    </row>
    <row r="1417" spans="1:26" s="128" customFormat="1">
      <c r="A1417" s="655">
        <v>59573</v>
      </c>
      <c r="B1417" s="656" t="s">
        <v>33</v>
      </c>
      <c r="C1417" s="655" t="s">
        <v>2793</v>
      </c>
      <c r="D1417" s="656" t="s">
        <v>1770</v>
      </c>
      <c r="E1417" s="656" t="s">
        <v>1725</v>
      </c>
      <c r="F1417" s="655">
        <v>58894</v>
      </c>
      <c r="G1417" s="656" t="s">
        <v>81</v>
      </c>
      <c r="H1417" s="656" t="s">
        <v>1183</v>
      </c>
      <c r="I1417" s="656" t="s">
        <v>58</v>
      </c>
      <c r="J1417" s="655">
        <v>22</v>
      </c>
      <c r="K1417" s="655">
        <v>2</v>
      </c>
      <c r="L1417" s="656" t="s">
        <v>52</v>
      </c>
      <c r="M1417" s="656" t="s">
        <v>448</v>
      </c>
      <c r="N1417" s="656" t="s">
        <v>449</v>
      </c>
      <c r="O1417" s="656" t="s">
        <v>449</v>
      </c>
      <c r="P1417" s="656" t="s">
        <v>1176</v>
      </c>
      <c r="Q1417" s="657">
        <v>0</v>
      </c>
      <c r="R1417" s="657">
        <v>0</v>
      </c>
      <c r="S1417" s="657">
        <v>12776</v>
      </c>
      <c r="T1417" s="657">
        <v>12776</v>
      </c>
      <c r="U1417" s="657">
        <v>1445</v>
      </c>
      <c r="V1417" s="655">
        <v>2021</v>
      </c>
      <c r="W1417" s="659"/>
      <c r="X1417" s="660">
        <f t="shared" si="68"/>
        <v>8.8415224913494814</v>
      </c>
      <c r="Y1417" s="661" t="str">
        <f t="shared" si="66"/>
        <v/>
      </c>
      <c r="Z1417" s="661" t="str">
        <f t="shared" si="67"/>
        <v/>
      </c>
    </row>
    <row r="1418" spans="1:26" s="128" customFormat="1" ht="25" hidden="1">
      <c r="A1418" s="655">
        <v>59613</v>
      </c>
      <c r="B1418" s="656" t="s">
        <v>33</v>
      </c>
      <c r="C1418" s="655" t="s">
        <v>2793</v>
      </c>
      <c r="D1418" s="656" t="s">
        <v>1771</v>
      </c>
      <c r="E1418" s="656" t="s">
        <v>3372</v>
      </c>
      <c r="F1418" s="655">
        <v>61944</v>
      </c>
      <c r="G1418" s="656" t="s">
        <v>57</v>
      </c>
      <c r="H1418" s="656" t="s">
        <v>1182</v>
      </c>
      <c r="I1418" s="656" t="s">
        <v>58</v>
      </c>
      <c r="J1418" s="655">
        <v>562212</v>
      </c>
      <c r="K1418" s="655">
        <v>4</v>
      </c>
      <c r="L1418" s="656" t="s">
        <v>412</v>
      </c>
      <c r="M1418" s="656" t="s">
        <v>448</v>
      </c>
      <c r="N1418" s="656" t="s">
        <v>449</v>
      </c>
      <c r="O1418" s="656" t="s">
        <v>449</v>
      </c>
      <c r="P1418" s="656" t="s">
        <v>1176</v>
      </c>
      <c r="Q1418" s="657">
        <v>0</v>
      </c>
      <c r="R1418" s="657">
        <v>0</v>
      </c>
      <c r="S1418" s="657">
        <v>14377</v>
      </c>
      <c r="T1418" s="657">
        <v>14377</v>
      </c>
      <c r="U1418" s="657">
        <v>1626</v>
      </c>
      <c r="V1418" s="655">
        <v>2021</v>
      </c>
      <c r="W1418" s="659"/>
      <c r="X1418" s="660" t="str">
        <f t="shared" si="68"/>
        <v/>
      </c>
      <c r="Y1418" s="661" t="str">
        <f t="shared" si="66"/>
        <v/>
      </c>
      <c r="Z1418" s="661" t="str">
        <f t="shared" si="67"/>
        <v/>
      </c>
    </row>
    <row r="1419" spans="1:26" s="128" customFormat="1" ht="25">
      <c r="A1419" s="655">
        <v>59622</v>
      </c>
      <c r="B1419" s="656" t="s">
        <v>33</v>
      </c>
      <c r="C1419" s="655" t="s">
        <v>2793</v>
      </c>
      <c r="D1419" s="656" t="s">
        <v>1941</v>
      </c>
      <c r="E1419" s="656" t="s">
        <v>1219</v>
      </c>
      <c r="F1419" s="655">
        <v>57365</v>
      </c>
      <c r="G1419" s="656" t="s">
        <v>81</v>
      </c>
      <c r="H1419" s="656" t="s">
        <v>1183</v>
      </c>
      <c r="I1419" s="656" t="s">
        <v>58</v>
      </c>
      <c r="J1419" s="655">
        <v>22</v>
      </c>
      <c r="K1419" s="655">
        <v>2</v>
      </c>
      <c r="L1419" s="656" t="s">
        <v>52</v>
      </c>
      <c r="M1419" s="656" t="s">
        <v>71</v>
      </c>
      <c r="N1419" s="656" t="s">
        <v>72</v>
      </c>
      <c r="O1419" s="656" t="s">
        <v>72</v>
      </c>
      <c r="P1419" s="656" t="s">
        <v>1176</v>
      </c>
      <c r="Q1419" s="657">
        <v>0</v>
      </c>
      <c r="R1419" s="657">
        <v>0</v>
      </c>
      <c r="S1419" s="657">
        <v>109786</v>
      </c>
      <c r="T1419" s="657">
        <v>109786</v>
      </c>
      <c r="U1419" s="657">
        <v>12415</v>
      </c>
      <c r="V1419" s="655">
        <v>2021</v>
      </c>
      <c r="W1419" s="659"/>
      <c r="X1419" s="660">
        <f t="shared" si="68"/>
        <v>8.8430124848973009</v>
      </c>
      <c r="Y1419" s="661" t="str">
        <f t="shared" si="66"/>
        <v/>
      </c>
      <c r="Z1419" s="661" t="str">
        <f t="shared" si="67"/>
        <v/>
      </c>
    </row>
    <row r="1420" spans="1:26" s="128" customFormat="1" hidden="1">
      <c r="A1420" s="655">
        <v>59623</v>
      </c>
      <c r="B1420" s="656" t="s">
        <v>33</v>
      </c>
      <c r="C1420" s="655" t="s">
        <v>2793</v>
      </c>
      <c r="D1420" s="656" t="s">
        <v>1772</v>
      </c>
      <c r="E1420" s="656" t="s">
        <v>2210</v>
      </c>
      <c r="F1420" s="655">
        <v>61012</v>
      </c>
      <c r="G1420" s="656" t="s">
        <v>57</v>
      </c>
      <c r="H1420" s="656" t="s">
        <v>1182</v>
      </c>
      <c r="I1420" s="656" t="s">
        <v>58</v>
      </c>
      <c r="J1420" s="655">
        <v>22</v>
      </c>
      <c r="K1420" s="655">
        <v>2</v>
      </c>
      <c r="L1420" s="656" t="s">
        <v>52</v>
      </c>
      <c r="M1420" s="656" t="s">
        <v>448</v>
      </c>
      <c r="N1420" s="656" t="s">
        <v>449</v>
      </c>
      <c r="O1420" s="656" t="s">
        <v>449</v>
      </c>
      <c r="P1420" s="656" t="s">
        <v>1176</v>
      </c>
      <c r="Q1420" s="657">
        <v>0</v>
      </c>
      <c r="R1420" s="657">
        <v>0</v>
      </c>
      <c r="S1420" s="657">
        <v>17943</v>
      </c>
      <c r="T1420" s="657">
        <v>17943</v>
      </c>
      <c r="U1420" s="657">
        <v>2029</v>
      </c>
      <c r="V1420" s="655">
        <v>2021</v>
      </c>
      <c r="W1420" s="659"/>
      <c r="X1420" s="660">
        <f t="shared" si="68"/>
        <v>8.8432725480532284</v>
      </c>
      <c r="Y1420" s="661" t="str">
        <f t="shared" si="66"/>
        <v/>
      </c>
      <c r="Z1420" s="661" t="str">
        <f t="shared" si="67"/>
        <v/>
      </c>
    </row>
    <row r="1421" spans="1:26" s="128" customFormat="1" ht="25">
      <c r="A1421" s="655">
        <v>59624</v>
      </c>
      <c r="B1421" s="656" t="s">
        <v>33</v>
      </c>
      <c r="C1421" s="655" t="s">
        <v>2793</v>
      </c>
      <c r="D1421" s="656" t="s">
        <v>1853</v>
      </c>
      <c r="E1421" s="656" t="s">
        <v>1657</v>
      </c>
      <c r="F1421" s="655">
        <v>58871</v>
      </c>
      <c r="G1421" s="656" t="s">
        <v>81</v>
      </c>
      <c r="H1421" s="656" t="s">
        <v>1183</v>
      </c>
      <c r="I1421" s="656" t="s">
        <v>58</v>
      </c>
      <c r="J1421" s="655">
        <v>22</v>
      </c>
      <c r="K1421" s="655">
        <v>2</v>
      </c>
      <c r="L1421" s="656" t="s">
        <v>52</v>
      </c>
      <c r="M1421" s="656" t="s">
        <v>448</v>
      </c>
      <c r="N1421" s="656" t="s">
        <v>449</v>
      </c>
      <c r="O1421" s="656" t="s">
        <v>449</v>
      </c>
      <c r="P1421" s="656" t="s">
        <v>1176</v>
      </c>
      <c r="Q1421" s="657">
        <v>0</v>
      </c>
      <c r="R1421" s="657">
        <v>0</v>
      </c>
      <c r="S1421" s="657">
        <v>19764</v>
      </c>
      <c r="T1421" s="657">
        <v>19764</v>
      </c>
      <c r="U1421" s="657">
        <v>2235</v>
      </c>
      <c r="V1421" s="655">
        <v>2021</v>
      </c>
      <c r="W1421" s="659"/>
      <c r="X1421" s="660">
        <f t="shared" si="68"/>
        <v>8.8429530201342281</v>
      </c>
      <c r="Y1421" s="661" t="str">
        <f t="shared" si="66"/>
        <v/>
      </c>
      <c r="Z1421" s="661" t="str">
        <f t="shared" si="67"/>
        <v/>
      </c>
    </row>
    <row r="1422" spans="1:26" s="128" customFormat="1" ht="25">
      <c r="A1422" s="655">
        <v>59625</v>
      </c>
      <c r="B1422" s="656" t="s">
        <v>33</v>
      </c>
      <c r="C1422" s="655" t="s">
        <v>2793</v>
      </c>
      <c r="D1422" s="656" t="s">
        <v>1854</v>
      </c>
      <c r="E1422" s="656" t="s">
        <v>1657</v>
      </c>
      <c r="F1422" s="655">
        <v>58871</v>
      </c>
      <c r="G1422" s="656" t="s">
        <v>81</v>
      </c>
      <c r="H1422" s="656" t="s">
        <v>1183</v>
      </c>
      <c r="I1422" s="656" t="s">
        <v>58</v>
      </c>
      <c r="J1422" s="655">
        <v>22</v>
      </c>
      <c r="K1422" s="655">
        <v>2</v>
      </c>
      <c r="L1422" s="656" t="s">
        <v>52</v>
      </c>
      <c r="M1422" s="656" t="s">
        <v>448</v>
      </c>
      <c r="N1422" s="656" t="s">
        <v>449</v>
      </c>
      <c r="O1422" s="656" t="s">
        <v>449</v>
      </c>
      <c r="P1422" s="656" t="s">
        <v>1176</v>
      </c>
      <c r="Q1422" s="657">
        <v>0</v>
      </c>
      <c r="R1422" s="657">
        <v>0</v>
      </c>
      <c r="S1422" s="657">
        <v>27351</v>
      </c>
      <c r="T1422" s="657">
        <v>27351</v>
      </c>
      <c r="U1422" s="657">
        <v>3093</v>
      </c>
      <c r="V1422" s="655">
        <v>2021</v>
      </c>
      <c r="W1422" s="659"/>
      <c r="X1422" s="660">
        <f t="shared" si="68"/>
        <v>8.8428709990300671</v>
      </c>
      <c r="Y1422" s="661" t="str">
        <f t="shared" si="66"/>
        <v/>
      </c>
      <c r="Z1422" s="661" t="str">
        <f t="shared" si="67"/>
        <v/>
      </c>
    </row>
    <row r="1423" spans="1:26" s="128" customFormat="1" ht="25">
      <c r="A1423" s="655">
        <v>59626</v>
      </c>
      <c r="B1423" s="656" t="s">
        <v>33</v>
      </c>
      <c r="C1423" s="655" t="s">
        <v>2793</v>
      </c>
      <c r="D1423" s="656" t="s">
        <v>1855</v>
      </c>
      <c r="E1423" s="656" t="s">
        <v>1657</v>
      </c>
      <c r="F1423" s="655">
        <v>58871</v>
      </c>
      <c r="G1423" s="656" t="s">
        <v>81</v>
      </c>
      <c r="H1423" s="656" t="s">
        <v>1183</v>
      </c>
      <c r="I1423" s="656" t="s">
        <v>58</v>
      </c>
      <c r="J1423" s="655">
        <v>22</v>
      </c>
      <c r="K1423" s="655">
        <v>2</v>
      </c>
      <c r="L1423" s="656" t="s">
        <v>52</v>
      </c>
      <c r="M1423" s="656" t="s">
        <v>448</v>
      </c>
      <c r="N1423" s="656" t="s">
        <v>449</v>
      </c>
      <c r="O1423" s="656" t="s">
        <v>449</v>
      </c>
      <c r="P1423" s="656" t="s">
        <v>1176</v>
      </c>
      <c r="Q1423" s="657">
        <v>0</v>
      </c>
      <c r="R1423" s="657">
        <v>0</v>
      </c>
      <c r="S1423" s="657">
        <v>20843</v>
      </c>
      <c r="T1423" s="657">
        <v>20843</v>
      </c>
      <c r="U1423" s="657">
        <v>2357</v>
      </c>
      <c r="V1423" s="655">
        <v>2021</v>
      </c>
      <c r="W1423" s="659"/>
      <c r="X1423" s="660">
        <f t="shared" si="68"/>
        <v>8.8430207891387358</v>
      </c>
      <c r="Y1423" s="661" t="str">
        <f t="shared" si="66"/>
        <v/>
      </c>
      <c r="Z1423" s="661" t="str">
        <f t="shared" si="67"/>
        <v/>
      </c>
    </row>
    <row r="1424" spans="1:26" s="128" customFormat="1" ht="25" hidden="1">
      <c r="A1424" s="655">
        <v>59629</v>
      </c>
      <c r="B1424" s="656" t="s">
        <v>33</v>
      </c>
      <c r="C1424" s="655" t="s">
        <v>2793</v>
      </c>
      <c r="D1424" s="656" t="s">
        <v>1942</v>
      </c>
      <c r="E1424" s="656" t="s">
        <v>1942</v>
      </c>
      <c r="F1424" s="655">
        <v>59362</v>
      </c>
      <c r="G1424" s="656" t="s">
        <v>57</v>
      </c>
      <c r="H1424" s="656" t="s">
        <v>1182</v>
      </c>
      <c r="I1424" s="656" t="s">
        <v>58</v>
      </c>
      <c r="J1424" s="655">
        <v>22</v>
      </c>
      <c r="K1424" s="655">
        <v>2</v>
      </c>
      <c r="L1424" s="656" t="s">
        <v>52</v>
      </c>
      <c r="M1424" s="656" t="s">
        <v>71</v>
      </c>
      <c r="N1424" s="656" t="s">
        <v>72</v>
      </c>
      <c r="O1424" s="656" t="s">
        <v>72</v>
      </c>
      <c r="P1424" s="656" t="s">
        <v>1176</v>
      </c>
      <c r="Q1424" s="657">
        <v>0</v>
      </c>
      <c r="R1424" s="657">
        <v>0</v>
      </c>
      <c r="S1424" s="657">
        <v>1770059</v>
      </c>
      <c r="T1424" s="657">
        <v>1770059</v>
      </c>
      <c r="U1424" s="657">
        <v>200165</v>
      </c>
      <c r="V1424" s="655">
        <v>2021</v>
      </c>
      <c r="W1424" s="659"/>
      <c r="X1424" s="660">
        <f t="shared" si="68"/>
        <v>8.8429995253915514</v>
      </c>
      <c r="Y1424" s="661" t="str">
        <f t="shared" si="66"/>
        <v/>
      </c>
      <c r="Z1424" s="661" t="str">
        <f t="shared" si="67"/>
        <v/>
      </c>
    </row>
    <row r="1425" spans="1:26" s="128" customFormat="1">
      <c r="A1425" s="655">
        <v>59636</v>
      </c>
      <c r="B1425" s="656" t="s">
        <v>33</v>
      </c>
      <c r="C1425" s="655" t="s">
        <v>2793</v>
      </c>
      <c r="D1425" s="656" t="s">
        <v>2811</v>
      </c>
      <c r="E1425" s="656" t="s">
        <v>1856</v>
      </c>
      <c r="F1425" s="655">
        <v>59388</v>
      </c>
      <c r="G1425" s="656" t="s">
        <v>81</v>
      </c>
      <c r="H1425" s="656" t="s">
        <v>1183</v>
      </c>
      <c r="I1425" s="656" t="s">
        <v>58</v>
      </c>
      <c r="J1425" s="655">
        <v>22</v>
      </c>
      <c r="K1425" s="655">
        <v>2</v>
      </c>
      <c r="L1425" s="656" t="s">
        <v>52</v>
      </c>
      <c r="M1425" s="656" t="s">
        <v>448</v>
      </c>
      <c r="N1425" s="656" t="s">
        <v>449</v>
      </c>
      <c r="O1425" s="656" t="s">
        <v>449</v>
      </c>
      <c r="P1425" s="656" t="s">
        <v>1176</v>
      </c>
      <c r="Q1425" s="657">
        <v>0</v>
      </c>
      <c r="R1425" s="657">
        <v>0</v>
      </c>
      <c r="S1425" s="657">
        <v>44471</v>
      </c>
      <c r="T1425" s="657">
        <v>44471</v>
      </c>
      <c r="U1425" s="657">
        <v>5029</v>
      </c>
      <c r="V1425" s="655">
        <v>2021</v>
      </c>
      <c r="W1425" s="659"/>
      <c r="X1425" s="660">
        <f t="shared" si="68"/>
        <v>8.842911115529926</v>
      </c>
      <c r="Y1425" s="661" t="str">
        <f t="shared" si="66"/>
        <v/>
      </c>
      <c r="Z1425" s="661" t="str">
        <f t="shared" si="67"/>
        <v/>
      </c>
    </row>
    <row r="1426" spans="1:26" s="128" customFormat="1" ht="25" hidden="1">
      <c r="A1426" s="655">
        <v>59639</v>
      </c>
      <c r="B1426" s="656" t="s">
        <v>33</v>
      </c>
      <c r="C1426" s="655" t="s">
        <v>2793</v>
      </c>
      <c r="D1426" s="656" t="s">
        <v>3375</v>
      </c>
      <c r="E1426" s="656" t="s">
        <v>3375</v>
      </c>
      <c r="F1426" s="655">
        <v>59395</v>
      </c>
      <c r="G1426" s="656" t="s">
        <v>81</v>
      </c>
      <c r="H1426" s="656" t="s">
        <v>1183</v>
      </c>
      <c r="I1426" s="656" t="s">
        <v>58</v>
      </c>
      <c r="J1426" s="655">
        <v>335</v>
      </c>
      <c r="K1426" s="655">
        <v>6</v>
      </c>
      <c r="L1426" s="656" t="s">
        <v>410</v>
      </c>
      <c r="M1426" s="656" t="s">
        <v>71</v>
      </c>
      <c r="N1426" s="656" t="s">
        <v>72</v>
      </c>
      <c r="O1426" s="656" t="s">
        <v>72</v>
      </c>
      <c r="P1426" s="656" t="s">
        <v>1176</v>
      </c>
      <c r="Q1426" s="657">
        <v>0</v>
      </c>
      <c r="R1426" s="657">
        <v>0</v>
      </c>
      <c r="S1426" s="657">
        <v>477</v>
      </c>
      <c r="T1426" s="657">
        <v>477</v>
      </c>
      <c r="U1426" s="657">
        <v>54</v>
      </c>
      <c r="V1426" s="655">
        <v>2021</v>
      </c>
      <c r="W1426" s="659"/>
      <c r="X1426" s="660" t="str">
        <f t="shared" si="68"/>
        <v/>
      </c>
      <c r="Y1426" s="661" t="str">
        <f t="shared" si="66"/>
        <v/>
      </c>
      <c r="Z1426" s="661" t="str">
        <f t="shared" si="67"/>
        <v/>
      </c>
    </row>
    <row r="1427" spans="1:26" s="128" customFormat="1" ht="25" hidden="1">
      <c r="A1427" s="655">
        <v>59682</v>
      </c>
      <c r="B1427" s="656" t="s">
        <v>33</v>
      </c>
      <c r="C1427" s="655" t="s">
        <v>2793</v>
      </c>
      <c r="D1427" s="656" t="s">
        <v>1773</v>
      </c>
      <c r="E1427" s="656" t="s">
        <v>2327</v>
      </c>
      <c r="F1427" s="655">
        <v>60025</v>
      </c>
      <c r="G1427" s="656" t="s">
        <v>89</v>
      </c>
      <c r="H1427" s="656" t="s">
        <v>1183</v>
      </c>
      <c r="I1427" s="656" t="s">
        <v>58</v>
      </c>
      <c r="J1427" s="655">
        <v>22</v>
      </c>
      <c r="K1427" s="655">
        <v>2</v>
      </c>
      <c r="L1427" s="656" t="s">
        <v>52</v>
      </c>
      <c r="M1427" s="656" t="s">
        <v>448</v>
      </c>
      <c r="N1427" s="656" t="s">
        <v>449</v>
      </c>
      <c r="O1427" s="656" t="s">
        <v>449</v>
      </c>
      <c r="P1427" s="656" t="s">
        <v>1176</v>
      </c>
      <c r="Q1427" s="657">
        <v>0</v>
      </c>
      <c r="R1427" s="657">
        <v>0</v>
      </c>
      <c r="S1427" s="657">
        <v>18862</v>
      </c>
      <c r="T1427" s="657">
        <v>18862</v>
      </c>
      <c r="U1427" s="657">
        <v>2133</v>
      </c>
      <c r="V1427" s="655">
        <v>2021</v>
      </c>
      <c r="W1427" s="659"/>
      <c r="X1427" s="660">
        <f t="shared" si="68"/>
        <v>8.8429442100328171</v>
      </c>
      <c r="Y1427" s="661" t="str">
        <f t="shared" si="66"/>
        <v/>
      </c>
      <c r="Z1427" s="661" t="str">
        <f t="shared" si="67"/>
        <v/>
      </c>
    </row>
    <row r="1428" spans="1:26" s="128" customFormat="1" ht="25" hidden="1">
      <c r="A1428" s="655">
        <v>59692</v>
      </c>
      <c r="B1428" s="656" t="s">
        <v>33</v>
      </c>
      <c r="C1428" s="655" t="s">
        <v>2793</v>
      </c>
      <c r="D1428" s="656" t="s">
        <v>1774</v>
      </c>
      <c r="E1428" s="656" t="s">
        <v>1775</v>
      </c>
      <c r="F1428" s="655">
        <v>59463</v>
      </c>
      <c r="G1428" s="656" t="s">
        <v>131</v>
      </c>
      <c r="H1428" s="656" t="s">
        <v>1183</v>
      </c>
      <c r="I1428" s="656" t="s">
        <v>58</v>
      </c>
      <c r="J1428" s="655">
        <v>22132</v>
      </c>
      <c r="K1428" s="655">
        <v>4</v>
      </c>
      <c r="L1428" s="656" t="s">
        <v>412</v>
      </c>
      <c r="M1428" s="656" t="s">
        <v>71</v>
      </c>
      <c r="N1428" s="656" t="s">
        <v>72</v>
      </c>
      <c r="O1428" s="656" t="s">
        <v>72</v>
      </c>
      <c r="P1428" s="656" t="s">
        <v>1176</v>
      </c>
      <c r="Q1428" s="657">
        <v>0</v>
      </c>
      <c r="R1428" s="657">
        <v>0</v>
      </c>
      <c r="S1428" s="657">
        <v>61071</v>
      </c>
      <c r="T1428" s="657">
        <v>61071</v>
      </c>
      <c r="U1428" s="657">
        <v>6906</v>
      </c>
      <c r="V1428" s="655">
        <v>2021</v>
      </c>
      <c r="W1428" s="659"/>
      <c r="X1428" s="660" t="str">
        <f t="shared" si="68"/>
        <v/>
      </c>
      <c r="Y1428" s="661" t="str">
        <f t="shared" si="66"/>
        <v/>
      </c>
      <c r="Z1428" s="661" t="str">
        <f t="shared" si="67"/>
        <v/>
      </c>
    </row>
    <row r="1429" spans="1:26" s="128" customFormat="1" hidden="1">
      <c r="A1429" s="655">
        <v>59705</v>
      </c>
      <c r="B1429" s="656" t="s">
        <v>33</v>
      </c>
      <c r="C1429" s="655" t="s">
        <v>2793</v>
      </c>
      <c r="D1429" s="656" t="s">
        <v>1943</v>
      </c>
      <c r="E1429" s="656" t="s">
        <v>1944</v>
      </c>
      <c r="F1429" s="655">
        <v>59474</v>
      </c>
      <c r="G1429" s="656" t="s">
        <v>57</v>
      </c>
      <c r="H1429" s="656" t="s">
        <v>1182</v>
      </c>
      <c r="I1429" s="656" t="s">
        <v>58</v>
      </c>
      <c r="J1429" s="655">
        <v>22</v>
      </c>
      <c r="K1429" s="655">
        <v>2</v>
      </c>
      <c r="L1429" s="656" t="s">
        <v>52</v>
      </c>
      <c r="M1429" s="656" t="s">
        <v>448</v>
      </c>
      <c r="N1429" s="656" t="s">
        <v>449</v>
      </c>
      <c r="O1429" s="656" t="s">
        <v>449</v>
      </c>
      <c r="P1429" s="656" t="s">
        <v>1176</v>
      </c>
      <c r="Q1429" s="657">
        <v>0</v>
      </c>
      <c r="R1429" s="657">
        <v>0</v>
      </c>
      <c r="S1429" s="657">
        <v>41190</v>
      </c>
      <c r="T1429" s="657">
        <v>41190</v>
      </c>
      <c r="U1429" s="657">
        <v>4658</v>
      </c>
      <c r="V1429" s="655">
        <v>2021</v>
      </c>
      <c r="W1429" s="659"/>
      <c r="X1429" s="660">
        <f t="shared" si="68"/>
        <v>8.842851009016746</v>
      </c>
      <c r="Y1429" s="661" t="str">
        <f t="shared" si="66"/>
        <v/>
      </c>
      <c r="Z1429" s="661" t="str">
        <f t="shared" si="67"/>
        <v/>
      </c>
    </row>
    <row r="1430" spans="1:26" s="128" customFormat="1" ht="25" hidden="1">
      <c r="A1430" s="655">
        <v>59717</v>
      </c>
      <c r="B1430" s="656" t="s">
        <v>33</v>
      </c>
      <c r="C1430" s="655" t="s">
        <v>2793</v>
      </c>
      <c r="D1430" s="656" t="s">
        <v>1857</v>
      </c>
      <c r="E1430" s="656" t="s">
        <v>1858</v>
      </c>
      <c r="F1430" s="655">
        <v>59484</v>
      </c>
      <c r="G1430" s="656" t="s">
        <v>81</v>
      </c>
      <c r="H1430" s="656" t="s">
        <v>1183</v>
      </c>
      <c r="I1430" s="656" t="s">
        <v>58</v>
      </c>
      <c r="J1430" s="655">
        <v>611</v>
      </c>
      <c r="K1430" s="655">
        <v>4</v>
      </c>
      <c r="L1430" s="656" t="s">
        <v>412</v>
      </c>
      <c r="M1430" s="656" t="s">
        <v>51</v>
      </c>
      <c r="N1430" s="656" t="s">
        <v>46</v>
      </c>
      <c r="O1430" s="656" t="s">
        <v>46</v>
      </c>
      <c r="P1430" s="656" t="s">
        <v>47</v>
      </c>
      <c r="Q1430" s="657">
        <v>28</v>
      </c>
      <c r="R1430" s="657">
        <v>28</v>
      </c>
      <c r="S1430" s="657">
        <v>166</v>
      </c>
      <c r="T1430" s="657">
        <v>166</v>
      </c>
      <c r="U1430" s="657">
        <v>11</v>
      </c>
      <c r="V1430" s="655">
        <v>2021</v>
      </c>
      <c r="W1430" s="659"/>
      <c r="X1430" s="660" t="str">
        <f t="shared" si="68"/>
        <v/>
      </c>
      <c r="Y1430" s="661" t="str">
        <f t="shared" si="66"/>
        <v/>
      </c>
      <c r="Z1430" s="661" t="str">
        <f t="shared" si="67"/>
        <v/>
      </c>
    </row>
    <row r="1431" spans="1:26" s="128" customFormat="1" ht="25" hidden="1">
      <c r="A1431" s="655">
        <v>59717</v>
      </c>
      <c r="B1431" s="656" t="s">
        <v>33</v>
      </c>
      <c r="C1431" s="655" t="s">
        <v>2793</v>
      </c>
      <c r="D1431" s="656" t="s">
        <v>1857</v>
      </c>
      <c r="E1431" s="656" t="s">
        <v>1858</v>
      </c>
      <c r="F1431" s="655">
        <v>59484</v>
      </c>
      <c r="G1431" s="656" t="s">
        <v>81</v>
      </c>
      <c r="H1431" s="656" t="s">
        <v>1183</v>
      </c>
      <c r="I1431" s="656" t="s">
        <v>58</v>
      </c>
      <c r="J1431" s="655">
        <v>611</v>
      </c>
      <c r="K1431" s="655">
        <v>4</v>
      </c>
      <c r="L1431" s="656" t="s">
        <v>412</v>
      </c>
      <c r="M1431" s="656" t="s">
        <v>51</v>
      </c>
      <c r="N1431" s="656" t="s">
        <v>39</v>
      </c>
      <c r="O1431" s="656" t="s">
        <v>39</v>
      </c>
      <c r="P1431" s="656" t="s">
        <v>1037</v>
      </c>
      <c r="Q1431" s="657">
        <v>0</v>
      </c>
      <c r="R1431" s="657">
        <v>0</v>
      </c>
      <c r="S1431" s="657">
        <v>0</v>
      </c>
      <c r="T1431" s="657">
        <v>0</v>
      </c>
      <c r="U1431" s="657">
        <v>0</v>
      </c>
      <c r="V1431" s="655">
        <v>2021</v>
      </c>
      <c r="W1431" s="659"/>
      <c r="X1431" s="660" t="str">
        <f t="shared" si="68"/>
        <v/>
      </c>
      <c r="Y1431" s="661" t="str">
        <f t="shared" si="66"/>
        <v/>
      </c>
      <c r="Z1431" s="661" t="str">
        <f t="shared" si="67"/>
        <v/>
      </c>
    </row>
    <row r="1432" spans="1:26" s="128" customFormat="1" ht="25" hidden="1">
      <c r="A1432" s="655">
        <v>59717</v>
      </c>
      <c r="B1432" s="656" t="s">
        <v>33</v>
      </c>
      <c r="C1432" s="655" t="s">
        <v>2793</v>
      </c>
      <c r="D1432" s="656" t="s">
        <v>1857</v>
      </c>
      <c r="E1432" s="656" t="s">
        <v>1858</v>
      </c>
      <c r="F1432" s="655">
        <v>59484</v>
      </c>
      <c r="G1432" s="656" t="s">
        <v>81</v>
      </c>
      <c r="H1432" s="656" t="s">
        <v>1183</v>
      </c>
      <c r="I1432" s="656" t="s">
        <v>58</v>
      </c>
      <c r="J1432" s="655">
        <v>611</v>
      </c>
      <c r="K1432" s="655">
        <v>4</v>
      </c>
      <c r="L1432" s="656" t="s">
        <v>412</v>
      </c>
      <c r="M1432" s="656" t="s">
        <v>448</v>
      </c>
      <c r="N1432" s="656" t="s">
        <v>449</v>
      </c>
      <c r="O1432" s="656" t="s">
        <v>449</v>
      </c>
      <c r="P1432" s="656" t="s">
        <v>1176</v>
      </c>
      <c r="Q1432" s="657">
        <v>0</v>
      </c>
      <c r="R1432" s="657">
        <v>0</v>
      </c>
      <c r="S1432" s="657">
        <v>875</v>
      </c>
      <c r="T1432" s="657">
        <v>875</v>
      </c>
      <c r="U1432" s="657">
        <v>99</v>
      </c>
      <c r="V1432" s="655">
        <v>2021</v>
      </c>
      <c r="W1432" s="659"/>
      <c r="X1432" s="660" t="str">
        <f t="shared" si="68"/>
        <v/>
      </c>
      <c r="Y1432" s="661" t="str">
        <f t="shared" si="66"/>
        <v/>
      </c>
      <c r="Z1432" s="661" t="str">
        <f t="shared" si="67"/>
        <v/>
      </c>
    </row>
    <row r="1433" spans="1:26" s="128" customFormat="1" ht="25" hidden="1">
      <c r="A1433" s="655">
        <v>59719</v>
      </c>
      <c r="B1433" s="656" t="s">
        <v>33</v>
      </c>
      <c r="C1433" s="655" t="s">
        <v>2793</v>
      </c>
      <c r="D1433" s="656" t="s">
        <v>1776</v>
      </c>
      <c r="E1433" s="656" t="s">
        <v>1989</v>
      </c>
      <c r="F1433" s="655">
        <v>60281</v>
      </c>
      <c r="G1433" s="656" t="s">
        <v>89</v>
      </c>
      <c r="H1433" s="656" t="s">
        <v>1183</v>
      </c>
      <c r="I1433" s="656" t="s">
        <v>58</v>
      </c>
      <c r="J1433" s="655">
        <v>22</v>
      </c>
      <c r="K1433" s="655">
        <v>2</v>
      </c>
      <c r="L1433" s="656" t="s">
        <v>52</v>
      </c>
      <c r="M1433" s="656" t="s">
        <v>448</v>
      </c>
      <c r="N1433" s="656" t="s">
        <v>449</v>
      </c>
      <c r="O1433" s="656" t="s">
        <v>449</v>
      </c>
      <c r="P1433" s="656" t="s">
        <v>1176</v>
      </c>
      <c r="Q1433" s="657">
        <v>0</v>
      </c>
      <c r="R1433" s="657">
        <v>0</v>
      </c>
      <c r="S1433" s="657">
        <v>24707</v>
      </c>
      <c r="T1433" s="657">
        <v>24707</v>
      </c>
      <c r="U1433" s="657">
        <v>2794</v>
      </c>
      <c r="V1433" s="655">
        <v>2021</v>
      </c>
      <c r="W1433" s="659"/>
      <c r="X1433" s="660">
        <f t="shared" si="68"/>
        <v>8.8428775948460991</v>
      </c>
      <c r="Y1433" s="661" t="str">
        <f t="shared" si="66"/>
        <v/>
      </c>
      <c r="Z1433" s="661" t="str">
        <f t="shared" si="67"/>
        <v/>
      </c>
    </row>
    <row r="1434" spans="1:26" s="128" customFormat="1">
      <c r="A1434" s="655">
        <v>59724</v>
      </c>
      <c r="B1434" s="656" t="s">
        <v>33</v>
      </c>
      <c r="C1434" s="655" t="s">
        <v>2793</v>
      </c>
      <c r="D1434" s="656" t="s">
        <v>1859</v>
      </c>
      <c r="E1434" s="656" t="s">
        <v>1860</v>
      </c>
      <c r="F1434" s="655">
        <v>59493</v>
      </c>
      <c r="G1434" s="656" t="s">
        <v>81</v>
      </c>
      <c r="H1434" s="656" t="s">
        <v>1183</v>
      </c>
      <c r="I1434" s="656" t="s">
        <v>58</v>
      </c>
      <c r="J1434" s="655">
        <v>22</v>
      </c>
      <c r="K1434" s="655">
        <v>2</v>
      </c>
      <c r="L1434" s="656" t="s">
        <v>52</v>
      </c>
      <c r="M1434" s="656" t="s">
        <v>71</v>
      </c>
      <c r="N1434" s="656" t="s">
        <v>72</v>
      </c>
      <c r="O1434" s="656" t="s">
        <v>72</v>
      </c>
      <c r="P1434" s="656" t="s">
        <v>1176</v>
      </c>
      <c r="Q1434" s="657">
        <v>0</v>
      </c>
      <c r="R1434" s="657">
        <v>0</v>
      </c>
      <c r="S1434" s="657">
        <v>25980</v>
      </c>
      <c r="T1434" s="657">
        <v>25980</v>
      </c>
      <c r="U1434" s="657">
        <v>2938</v>
      </c>
      <c r="V1434" s="655">
        <v>2021</v>
      </c>
      <c r="W1434" s="659"/>
      <c r="X1434" s="660">
        <f t="shared" si="68"/>
        <v>8.8427501701837983</v>
      </c>
      <c r="Y1434" s="661" t="str">
        <f t="shared" si="66"/>
        <v/>
      </c>
      <c r="Z1434" s="661" t="str">
        <f t="shared" si="67"/>
        <v/>
      </c>
    </row>
    <row r="1435" spans="1:26" s="128" customFormat="1">
      <c r="A1435" s="655">
        <v>59725</v>
      </c>
      <c r="B1435" s="656" t="s">
        <v>33</v>
      </c>
      <c r="C1435" s="655" t="s">
        <v>2793</v>
      </c>
      <c r="D1435" s="656" t="s">
        <v>1861</v>
      </c>
      <c r="E1435" s="656" t="s">
        <v>1862</v>
      </c>
      <c r="F1435" s="655">
        <v>59494</v>
      </c>
      <c r="G1435" s="656" t="s">
        <v>81</v>
      </c>
      <c r="H1435" s="656" t="s">
        <v>1183</v>
      </c>
      <c r="I1435" s="656" t="s">
        <v>58</v>
      </c>
      <c r="J1435" s="655">
        <v>22</v>
      </c>
      <c r="K1435" s="655">
        <v>2</v>
      </c>
      <c r="L1435" s="656" t="s">
        <v>52</v>
      </c>
      <c r="M1435" s="656" t="s">
        <v>71</v>
      </c>
      <c r="N1435" s="656" t="s">
        <v>72</v>
      </c>
      <c r="O1435" s="656" t="s">
        <v>72</v>
      </c>
      <c r="P1435" s="656" t="s">
        <v>1176</v>
      </c>
      <c r="Q1435" s="657">
        <v>0</v>
      </c>
      <c r="R1435" s="657">
        <v>0</v>
      </c>
      <c r="S1435" s="657">
        <v>42128</v>
      </c>
      <c r="T1435" s="657">
        <v>42128</v>
      </c>
      <c r="U1435" s="657">
        <v>4764</v>
      </c>
      <c r="V1435" s="655">
        <v>2021</v>
      </c>
      <c r="W1435" s="659"/>
      <c r="X1435" s="660">
        <f t="shared" si="68"/>
        <v>8.8429890848026869</v>
      </c>
      <c r="Y1435" s="661" t="str">
        <f t="shared" si="66"/>
        <v/>
      </c>
      <c r="Z1435" s="661" t="str">
        <f t="shared" si="67"/>
        <v/>
      </c>
    </row>
    <row r="1436" spans="1:26" s="128" customFormat="1">
      <c r="A1436" s="655">
        <v>59731</v>
      </c>
      <c r="B1436" s="656" t="s">
        <v>33</v>
      </c>
      <c r="C1436" s="655" t="s">
        <v>2793</v>
      </c>
      <c r="D1436" s="656" t="s">
        <v>1777</v>
      </c>
      <c r="E1436" s="656" t="s">
        <v>1778</v>
      </c>
      <c r="F1436" s="655">
        <v>59500</v>
      </c>
      <c r="G1436" s="656" t="s">
        <v>81</v>
      </c>
      <c r="H1436" s="656" t="s">
        <v>1183</v>
      </c>
      <c r="I1436" s="656" t="s">
        <v>58</v>
      </c>
      <c r="J1436" s="655">
        <v>22</v>
      </c>
      <c r="K1436" s="655">
        <v>2</v>
      </c>
      <c r="L1436" s="656" t="s">
        <v>52</v>
      </c>
      <c r="M1436" s="656" t="s">
        <v>448</v>
      </c>
      <c r="N1436" s="656" t="s">
        <v>449</v>
      </c>
      <c r="O1436" s="656" t="s">
        <v>449</v>
      </c>
      <c r="P1436" s="656" t="s">
        <v>1176</v>
      </c>
      <c r="Q1436" s="657">
        <v>0</v>
      </c>
      <c r="R1436" s="657">
        <v>0</v>
      </c>
      <c r="S1436" s="657">
        <v>36919</v>
      </c>
      <c r="T1436" s="657">
        <v>36919</v>
      </c>
      <c r="U1436" s="657">
        <v>4175</v>
      </c>
      <c r="V1436" s="655">
        <v>2021</v>
      </c>
      <c r="W1436" s="659"/>
      <c r="X1436" s="660">
        <f t="shared" si="68"/>
        <v>8.8428742514970065</v>
      </c>
      <c r="Y1436" s="661" t="str">
        <f t="shared" si="66"/>
        <v/>
      </c>
      <c r="Z1436" s="661" t="str">
        <f t="shared" si="67"/>
        <v/>
      </c>
    </row>
    <row r="1437" spans="1:26" s="128" customFormat="1" hidden="1">
      <c r="A1437" s="655">
        <v>59741</v>
      </c>
      <c r="B1437" s="656" t="s">
        <v>33</v>
      </c>
      <c r="C1437" s="655" t="s">
        <v>2793</v>
      </c>
      <c r="D1437" s="656" t="s">
        <v>1779</v>
      </c>
      <c r="E1437" s="656" t="s">
        <v>1780</v>
      </c>
      <c r="F1437" s="655">
        <v>59508</v>
      </c>
      <c r="G1437" s="656" t="s">
        <v>89</v>
      </c>
      <c r="H1437" s="656" t="s">
        <v>1183</v>
      </c>
      <c r="I1437" s="656" t="s">
        <v>58</v>
      </c>
      <c r="J1437" s="655">
        <v>22</v>
      </c>
      <c r="K1437" s="655">
        <v>2</v>
      </c>
      <c r="L1437" s="656" t="s">
        <v>52</v>
      </c>
      <c r="M1437" s="656" t="s">
        <v>448</v>
      </c>
      <c r="N1437" s="656" t="s">
        <v>449</v>
      </c>
      <c r="O1437" s="656" t="s">
        <v>449</v>
      </c>
      <c r="P1437" s="656" t="s">
        <v>1176</v>
      </c>
      <c r="Q1437" s="657">
        <v>0</v>
      </c>
      <c r="R1437" s="657">
        <v>0</v>
      </c>
      <c r="S1437" s="657">
        <v>22398</v>
      </c>
      <c r="T1437" s="657">
        <v>22398</v>
      </c>
      <c r="U1437" s="657">
        <v>2533</v>
      </c>
      <c r="V1437" s="655">
        <v>2021</v>
      </c>
      <c r="W1437" s="659"/>
      <c r="X1437" s="660">
        <f t="shared" si="68"/>
        <v>8.84247927358863</v>
      </c>
      <c r="Y1437" s="661" t="str">
        <f t="shared" si="66"/>
        <v/>
      </c>
      <c r="Z1437" s="661" t="str">
        <f t="shared" si="67"/>
        <v/>
      </c>
    </row>
    <row r="1438" spans="1:26" s="128" customFormat="1" ht="25">
      <c r="A1438" s="655">
        <v>59745</v>
      </c>
      <c r="B1438" s="656" t="s">
        <v>33</v>
      </c>
      <c r="C1438" s="655" t="s">
        <v>2793</v>
      </c>
      <c r="D1438" s="656" t="s">
        <v>1863</v>
      </c>
      <c r="E1438" s="656" t="s">
        <v>1864</v>
      </c>
      <c r="F1438" s="655">
        <v>59511</v>
      </c>
      <c r="G1438" s="656" t="s">
        <v>81</v>
      </c>
      <c r="H1438" s="656" t="s">
        <v>1183</v>
      </c>
      <c r="I1438" s="656" t="s">
        <v>58</v>
      </c>
      <c r="J1438" s="655">
        <v>22</v>
      </c>
      <c r="K1438" s="655">
        <v>2</v>
      </c>
      <c r="L1438" s="656" t="s">
        <v>52</v>
      </c>
      <c r="M1438" s="656" t="s">
        <v>448</v>
      </c>
      <c r="N1438" s="656" t="s">
        <v>449</v>
      </c>
      <c r="O1438" s="656" t="s">
        <v>449</v>
      </c>
      <c r="P1438" s="656" t="s">
        <v>1176</v>
      </c>
      <c r="Q1438" s="657">
        <v>0</v>
      </c>
      <c r="R1438" s="657">
        <v>0</v>
      </c>
      <c r="S1438" s="657">
        <v>31543</v>
      </c>
      <c r="T1438" s="657">
        <v>31543</v>
      </c>
      <c r="U1438" s="657">
        <v>3567</v>
      </c>
      <c r="V1438" s="655">
        <v>2021</v>
      </c>
      <c r="W1438" s="659"/>
      <c r="X1438" s="660">
        <f t="shared" si="68"/>
        <v>8.8430053266049899</v>
      </c>
      <c r="Y1438" s="661" t="str">
        <f t="shared" si="66"/>
        <v/>
      </c>
      <c r="Z1438" s="661" t="str">
        <f t="shared" si="67"/>
        <v/>
      </c>
    </row>
    <row r="1439" spans="1:26" s="128" customFormat="1">
      <c r="A1439" s="655">
        <v>59750</v>
      </c>
      <c r="B1439" s="656" t="s">
        <v>33</v>
      </c>
      <c r="C1439" s="655" t="s">
        <v>2793</v>
      </c>
      <c r="D1439" s="656" t="s">
        <v>1781</v>
      </c>
      <c r="E1439" s="656" t="s">
        <v>1782</v>
      </c>
      <c r="F1439" s="655">
        <v>58473</v>
      </c>
      <c r="G1439" s="656" t="s">
        <v>81</v>
      </c>
      <c r="H1439" s="656" t="s">
        <v>1183</v>
      </c>
      <c r="I1439" s="656" t="s">
        <v>58</v>
      </c>
      <c r="J1439" s="655">
        <v>22</v>
      </c>
      <c r="K1439" s="655">
        <v>2</v>
      </c>
      <c r="L1439" s="656" t="s">
        <v>52</v>
      </c>
      <c r="M1439" s="656" t="s">
        <v>448</v>
      </c>
      <c r="N1439" s="656" t="s">
        <v>449</v>
      </c>
      <c r="O1439" s="656" t="s">
        <v>449</v>
      </c>
      <c r="P1439" s="656" t="s">
        <v>1176</v>
      </c>
      <c r="Q1439" s="657">
        <v>0</v>
      </c>
      <c r="R1439" s="657">
        <v>0</v>
      </c>
      <c r="S1439" s="657">
        <v>30931</v>
      </c>
      <c r="T1439" s="657">
        <v>30931</v>
      </c>
      <c r="U1439" s="657">
        <v>3498</v>
      </c>
      <c r="V1439" s="655">
        <v>2021</v>
      </c>
      <c r="W1439" s="659"/>
      <c r="X1439" s="660">
        <f t="shared" si="68"/>
        <v>8.8424814179531168</v>
      </c>
      <c r="Y1439" s="661" t="str">
        <f t="shared" si="66"/>
        <v/>
      </c>
      <c r="Z1439" s="661" t="str">
        <f t="shared" si="67"/>
        <v/>
      </c>
    </row>
    <row r="1440" spans="1:26" s="128" customFormat="1" ht="25">
      <c r="A1440" s="655">
        <v>59752</v>
      </c>
      <c r="B1440" s="656" t="s">
        <v>33</v>
      </c>
      <c r="C1440" s="655" t="s">
        <v>2793</v>
      </c>
      <c r="D1440" s="656" t="s">
        <v>1865</v>
      </c>
      <c r="E1440" s="656" t="s">
        <v>1866</v>
      </c>
      <c r="F1440" s="655">
        <v>59519</v>
      </c>
      <c r="G1440" s="656" t="s">
        <v>81</v>
      </c>
      <c r="H1440" s="656" t="s">
        <v>1183</v>
      </c>
      <c r="I1440" s="656" t="s">
        <v>58</v>
      </c>
      <c r="J1440" s="655">
        <v>22</v>
      </c>
      <c r="K1440" s="655">
        <v>2</v>
      </c>
      <c r="L1440" s="656" t="s">
        <v>52</v>
      </c>
      <c r="M1440" s="656" t="s">
        <v>448</v>
      </c>
      <c r="N1440" s="656" t="s">
        <v>449</v>
      </c>
      <c r="O1440" s="656" t="s">
        <v>449</v>
      </c>
      <c r="P1440" s="656" t="s">
        <v>1176</v>
      </c>
      <c r="Q1440" s="657">
        <v>0</v>
      </c>
      <c r="R1440" s="657">
        <v>0</v>
      </c>
      <c r="S1440" s="657">
        <v>13857</v>
      </c>
      <c r="T1440" s="657">
        <v>13857</v>
      </c>
      <c r="U1440" s="657">
        <v>1567</v>
      </c>
      <c r="V1440" s="655">
        <v>2021</v>
      </c>
      <c r="W1440" s="659"/>
      <c r="X1440" s="660">
        <f t="shared" si="68"/>
        <v>8.8430121250797704</v>
      </c>
      <c r="Y1440" s="661" t="str">
        <f t="shared" si="66"/>
        <v/>
      </c>
      <c r="Z1440" s="661" t="str">
        <f t="shared" si="67"/>
        <v/>
      </c>
    </row>
    <row r="1441" spans="1:26" s="128" customFormat="1" ht="25" hidden="1">
      <c r="A1441" s="655">
        <v>59755</v>
      </c>
      <c r="B1441" s="656" t="s">
        <v>33</v>
      </c>
      <c r="C1441" s="655" t="s">
        <v>2793</v>
      </c>
      <c r="D1441" s="656" t="s">
        <v>1783</v>
      </c>
      <c r="E1441" s="656" t="s">
        <v>1989</v>
      </c>
      <c r="F1441" s="655">
        <v>60281</v>
      </c>
      <c r="G1441" s="656" t="s">
        <v>89</v>
      </c>
      <c r="H1441" s="656" t="s">
        <v>1183</v>
      </c>
      <c r="I1441" s="656" t="s">
        <v>58</v>
      </c>
      <c r="J1441" s="655">
        <v>22</v>
      </c>
      <c r="K1441" s="655">
        <v>2</v>
      </c>
      <c r="L1441" s="656" t="s">
        <v>52</v>
      </c>
      <c r="M1441" s="656" t="s">
        <v>448</v>
      </c>
      <c r="N1441" s="656" t="s">
        <v>449</v>
      </c>
      <c r="O1441" s="656" t="s">
        <v>449</v>
      </c>
      <c r="P1441" s="656" t="s">
        <v>1176</v>
      </c>
      <c r="Q1441" s="657">
        <v>0</v>
      </c>
      <c r="R1441" s="657">
        <v>0</v>
      </c>
      <c r="S1441" s="657">
        <v>21939</v>
      </c>
      <c r="T1441" s="657">
        <v>21939</v>
      </c>
      <c r="U1441" s="657">
        <v>2481</v>
      </c>
      <c r="V1441" s="655">
        <v>2021</v>
      </c>
      <c r="W1441" s="659"/>
      <c r="X1441" s="660">
        <f t="shared" si="68"/>
        <v>8.8428053204353088</v>
      </c>
      <c r="Y1441" s="661" t="str">
        <f t="shared" si="66"/>
        <v/>
      </c>
      <c r="Z1441" s="661" t="str">
        <f t="shared" si="67"/>
        <v/>
      </c>
    </row>
    <row r="1442" spans="1:26" s="128" customFormat="1" ht="25">
      <c r="A1442" s="655">
        <v>59765</v>
      </c>
      <c r="B1442" s="656" t="s">
        <v>33</v>
      </c>
      <c r="C1442" s="655" t="s">
        <v>2793</v>
      </c>
      <c r="D1442" s="656" t="s">
        <v>1784</v>
      </c>
      <c r="E1442" s="656" t="s">
        <v>1758</v>
      </c>
      <c r="F1442" s="655">
        <v>59232</v>
      </c>
      <c r="G1442" s="656" t="s">
        <v>81</v>
      </c>
      <c r="H1442" s="656" t="s">
        <v>1183</v>
      </c>
      <c r="I1442" s="656" t="s">
        <v>58</v>
      </c>
      <c r="J1442" s="655">
        <v>22</v>
      </c>
      <c r="K1442" s="655">
        <v>2</v>
      </c>
      <c r="L1442" s="656" t="s">
        <v>52</v>
      </c>
      <c r="M1442" s="656" t="s">
        <v>448</v>
      </c>
      <c r="N1442" s="656" t="s">
        <v>449</v>
      </c>
      <c r="O1442" s="656" t="s">
        <v>449</v>
      </c>
      <c r="P1442" s="656" t="s">
        <v>1176</v>
      </c>
      <c r="Q1442" s="657">
        <v>0</v>
      </c>
      <c r="R1442" s="657">
        <v>0</v>
      </c>
      <c r="S1442" s="657">
        <v>25150</v>
      </c>
      <c r="T1442" s="657">
        <v>25150</v>
      </c>
      <c r="U1442" s="657">
        <v>2844</v>
      </c>
      <c r="V1442" s="655">
        <v>2021</v>
      </c>
      <c r="W1442" s="659"/>
      <c r="X1442" s="660">
        <f t="shared" si="68"/>
        <v>8.843178621659634</v>
      </c>
      <c r="Y1442" s="661" t="str">
        <f t="shared" si="66"/>
        <v/>
      </c>
      <c r="Z1442" s="661" t="str">
        <f t="shared" si="67"/>
        <v/>
      </c>
    </row>
    <row r="1443" spans="1:26" s="128" customFormat="1">
      <c r="A1443" s="655">
        <v>59766</v>
      </c>
      <c r="B1443" s="656" t="s">
        <v>33</v>
      </c>
      <c r="C1443" s="655" t="s">
        <v>2793</v>
      </c>
      <c r="D1443" s="656" t="s">
        <v>1785</v>
      </c>
      <c r="E1443" s="656" t="s">
        <v>1758</v>
      </c>
      <c r="F1443" s="655">
        <v>59232</v>
      </c>
      <c r="G1443" s="656" t="s">
        <v>81</v>
      </c>
      <c r="H1443" s="656" t="s">
        <v>1183</v>
      </c>
      <c r="I1443" s="656" t="s">
        <v>58</v>
      </c>
      <c r="J1443" s="655">
        <v>22</v>
      </c>
      <c r="K1443" s="655">
        <v>2</v>
      </c>
      <c r="L1443" s="656" t="s">
        <v>52</v>
      </c>
      <c r="M1443" s="656" t="s">
        <v>448</v>
      </c>
      <c r="N1443" s="656" t="s">
        <v>449</v>
      </c>
      <c r="O1443" s="656" t="s">
        <v>449</v>
      </c>
      <c r="P1443" s="656" t="s">
        <v>1176</v>
      </c>
      <c r="Q1443" s="657">
        <v>0</v>
      </c>
      <c r="R1443" s="657">
        <v>0</v>
      </c>
      <c r="S1443" s="657">
        <v>19349</v>
      </c>
      <c r="T1443" s="657">
        <v>19349</v>
      </c>
      <c r="U1443" s="657">
        <v>2188</v>
      </c>
      <c r="V1443" s="655">
        <v>2021</v>
      </c>
      <c r="W1443" s="659"/>
      <c r="X1443" s="660">
        <f t="shared" si="68"/>
        <v>8.8432358318098725</v>
      </c>
      <c r="Y1443" s="661" t="str">
        <f t="shared" si="66"/>
        <v/>
      </c>
      <c r="Z1443" s="661" t="str">
        <f t="shared" si="67"/>
        <v/>
      </c>
    </row>
    <row r="1444" spans="1:26" s="128" customFormat="1">
      <c r="A1444" s="655">
        <v>59767</v>
      </c>
      <c r="B1444" s="656" t="s">
        <v>33</v>
      </c>
      <c r="C1444" s="655" t="s">
        <v>2793</v>
      </c>
      <c r="D1444" s="656" t="s">
        <v>1786</v>
      </c>
      <c r="E1444" s="656" t="s">
        <v>1758</v>
      </c>
      <c r="F1444" s="655">
        <v>59232</v>
      </c>
      <c r="G1444" s="656" t="s">
        <v>81</v>
      </c>
      <c r="H1444" s="656" t="s">
        <v>1183</v>
      </c>
      <c r="I1444" s="656" t="s">
        <v>58</v>
      </c>
      <c r="J1444" s="655">
        <v>22</v>
      </c>
      <c r="K1444" s="655">
        <v>2</v>
      </c>
      <c r="L1444" s="656" t="s">
        <v>52</v>
      </c>
      <c r="M1444" s="656" t="s">
        <v>448</v>
      </c>
      <c r="N1444" s="656" t="s">
        <v>449</v>
      </c>
      <c r="O1444" s="656" t="s">
        <v>449</v>
      </c>
      <c r="P1444" s="656" t="s">
        <v>1176</v>
      </c>
      <c r="Q1444" s="657">
        <v>0</v>
      </c>
      <c r="R1444" s="657">
        <v>0</v>
      </c>
      <c r="S1444" s="657">
        <v>60486</v>
      </c>
      <c r="T1444" s="657">
        <v>60486</v>
      </c>
      <c r="U1444" s="657">
        <v>6840</v>
      </c>
      <c r="V1444" s="655">
        <v>2021</v>
      </c>
      <c r="W1444" s="659"/>
      <c r="X1444" s="660">
        <f t="shared" si="68"/>
        <v>8.8429824561403514</v>
      </c>
      <c r="Y1444" s="661" t="str">
        <f t="shared" si="66"/>
        <v/>
      </c>
      <c r="Z1444" s="661" t="str">
        <f t="shared" si="67"/>
        <v/>
      </c>
    </row>
    <row r="1445" spans="1:26" s="128" customFormat="1">
      <c r="A1445" s="655">
        <v>59768</v>
      </c>
      <c r="B1445" s="656" t="s">
        <v>33</v>
      </c>
      <c r="C1445" s="655" t="s">
        <v>2793</v>
      </c>
      <c r="D1445" s="656" t="s">
        <v>1787</v>
      </c>
      <c r="E1445" s="656" t="s">
        <v>1758</v>
      </c>
      <c r="F1445" s="655">
        <v>59232</v>
      </c>
      <c r="G1445" s="656" t="s">
        <v>81</v>
      </c>
      <c r="H1445" s="656" t="s">
        <v>1183</v>
      </c>
      <c r="I1445" s="656" t="s">
        <v>58</v>
      </c>
      <c r="J1445" s="655">
        <v>22</v>
      </c>
      <c r="K1445" s="655">
        <v>2</v>
      </c>
      <c r="L1445" s="656" t="s">
        <v>52</v>
      </c>
      <c r="M1445" s="656" t="s">
        <v>448</v>
      </c>
      <c r="N1445" s="656" t="s">
        <v>449</v>
      </c>
      <c r="O1445" s="656" t="s">
        <v>449</v>
      </c>
      <c r="P1445" s="656" t="s">
        <v>1176</v>
      </c>
      <c r="Q1445" s="657">
        <v>0</v>
      </c>
      <c r="R1445" s="657">
        <v>0</v>
      </c>
      <c r="S1445" s="657">
        <v>17731</v>
      </c>
      <c r="T1445" s="657">
        <v>17731</v>
      </c>
      <c r="U1445" s="657">
        <v>2005</v>
      </c>
      <c r="V1445" s="655">
        <v>2021</v>
      </c>
      <c r="W1445" s="659"/>
      <c r="X1445" s="660">
        <f t="shared" si="68"/>
        <v>8.8433915211970078</v>
      </c>
      <c r="Y1445" s="661" t="str">
        <f t="shared" si="66"/>
        <v/>
      </c>
      <c r="Z1445" s="661" t="str">
        <f t="shared" si="67"/>
        <v/>
      </c>
    </row>
    <row r="1446" spans="1:26" s="128" customFormat="1" ht="25">
      <c r="A1446" s="655">
        <v>59775</v>
      </c>
      <c r="B1446" s="656" t="s">
        <v>33</v>
      </c>
      <c r="C1446" s="655" t="s">
        <v>2793</v>
      </c>
      <c r="D1446" s="656" t="s">
        <v>1788</v>
      </c>
      <c r="E1446" s="656" t="s">
        <v>1989</v>
      </c>
      <c r="F1446" s="655">
        <v>60281</v>
      </c>
      <c r="G1446" s="656" t="s">
        <v>81</v>
      </c>
      <c r="H1446" s="656" t="s">
        <v>1183</v>
      </c>
      <c r="I1446" s="656" t="s">
        <v>58</v>
      </c>
      <c r="J1446" s="655">
        <v>22</v>
      </c>
      <c r="K1446" s="655">
        <v>2</v>
      </c>
      <c r="L1446" s="656" t="s">
        <v>52</v>
      </c>
      <c r="M1446" s="656" t="s">
        <v>448</v>
      </c>
      <c r="N1446" s="656" t="s">
        <v>449</v>
      </c>
      <c r="O1446" s="656" t="s">
        <v>449</v>
      </c>
      <c r="P1446" s="656" t="s">
        <v>1176</v>
      </c>
      <c r="Q1446" s="657">
        <v>0</v>
      </c>
      <c r="R1446" s="657">
        <v>0</v>
      </c>
      <c r="S1446" s="657">
        <v>33143</v>
      </c>
      <c r="T1446" s="657">
        <v>33143</v>
      </c>
      <c r="U1446" s="657">
        <v>3748</v>
      </c>
      <c r="V1446" s="655">
        <v>2021</v>
      </c>
      <c r="W1446" s="659"/>
      <c r="X1446" s="660">
        <f t="shared" si="68"/>
        <v>8.8428495197438632</v>
      </c>
      <c r="Y1446" s="661" t="str">
        <f t="shared" si="66"/>
        <v/>
      </c>
      <c r="Z1446" s="661" t="str">
        <f t="shared" si="67"/>
        <v/>
      </c>
    </row>
    <row r="1447" spans="1:26" s="128" customFormat="1" ht="25">
      <c r="A1447" s="655">
        <v>59777</v>
      </c>
      <c r="B1447" s="656" t="s">
        <v>33</v>
      </c>
      <c r="C1447" s="655" t="s">
        <v>2793</v>
      </c>
      <c r="D1447" s="656" t="s">
        <v>1945</v>
      </c>
      <c r="E1447" s="656" t="s">
        <v>1866</v>
      </c>
      <c r="F1447" s="655">
        <v>59519</v>
      </c>
      <c r="G1447" s="656" t="s">
        <v>81</v>
      </c>
      <c r="H1447" s="656" t="s">
        <v>1183</v>
      </c>
      <c r="I1447" s="656" t="s">
        <v>58</v>
      </c>
      <c r="J1447" s="655">
        <v>22</v>
      </c>
      <c r="K1447" s="655">
        <v>2</v>
      </c>
      <c r="L1447" s="656" t="s">
        <v>52</v>
      </c>
      <c r="M1447" s="656" t="s">
        <v>448</v>
      </c>
      <c r="N1447" s="656" t="s">
        <v>449</v>
      </c>
      <c r="O1447" s="656" t="s">
        <v>449</v>
      </c>
      <c r="P1447" s="656" t="s">
        <v>1176</v>
      </c>
      <c r="Q1447" s="657">
        <v>0</v>
      </c>
      <c r="R1447" s="657">
        <v>0</v>
      </c>
      <c r="S1447" s="657">
        <v>10990</v>
      </c>
      <c r="T1447" s="657">
        <v>10990</v>
      </c>
      <c r="U1447" s="657">
        <v>1243</v>
      </c>
      <c r="V1447" s="655">
        <v>2021</v>
      </c>
      <c r="W1447" s="659"/>
      <c r="X1447" s="660">
        <f t="shared" si="68"/>
        <v>8.8415124698310539</v>
      </c>
      <c r="Y1447" s="661" t="str">
        <f t="shared" si="66"/>
        <v/>
      </c>
      <c r="Z1447" s="661" t="str">
        <f t="shared" si="67"/>
        <v/>
      </c>
    </row>
    <row r="1448" spans="1:26" s="128" customFormat="1" ht="25">
      <c r="A1448" s="655">
        <v>59780</v>
      </c>
      <c r="B1448" s="656" t="s">
        <v>33</v>
      </c>
      <c r="C1448" s="655" t="s">
        <v>2793</v>
      </c>
      <c r="D1448" s="656" t="s">
        <v>1789</v>
      </c>
      <c r="E1448" s="656" t="s">
        <v>1790</v>
      </c>
      <c r="F1448" s="655">
        <v>59545</v>
      </c>
      <c r="G1448" s="656" t="s">
        <v>81</v>
      </c>
      <c r="H1448" s="656" t="s">
        <v>1183</v>
      </c>
      <c r="I1448" s="656" t="s">
        <v>58</v>
      </c>
      <c r="J1448" s="655">
        <v>22</v>
      </c>
      <c r="K1448" s="655">
        <v>2</v>
      </c>
      <c r="L1448" s="656" t="s">
        <v>52</v>
      </c>
      <c r="M1448" s="656" t="s">
        <v>448</v>
      </c>
      <c r="N1448" s="656" t="s">
        <v>449</v>
      </c>
      <c r="O1448" s="656" t="s">
        <v>449</v>
      </c>
      <c r="P1448" s="656" t="s">
        <v>1176</v>
      </c>
      <c r="Q1448" s="657">
        <v>0</v>
      </c>
      <c r="R1448" s="657">
        <v>0</v>
      </c>
      <c r="S1448" s="657">
        <v>48890</v>
      </c>
      <c r="T1448" s="657">
        <v>48890</v>
      </c>
      <c r="U1448" s="657">
        <v>5529</v>
      </c>
      <c r="V1448" s="655">
        <v>2021</v>
      </c>
      <c r="W1448" s="659"/>
      <c r="X1448" s="660">
        <f t="shared" si="68"/>
        <v>8.8424669922228247</v>
      </c>
      <c r="Y1448" s="661" t="str">
        <f t="shared" si="66"/>
        <v/>
      </c>
      <c r="Z1448" s="661" t="str">
        <f t="shared" si="67"/>
        <v/>
      </c>
    </row>
    <row r="1449" spans="1:26" s="128" customFormat="1" ht="25">
      <c r="A1449" s="655">
        <v>59781</v>
      </c>
      <c r="B1449" s="656" t="s">
        <v>33</v>
      </c>
      <c r="C1449" s="655" t="s">
        <v>2793</v>
      </c>
      <c r="D1449" s="656" t="s">
        <v>1791</v>
      </c>
      <c r="E1449" s="656" t="s">
        <v>1792</v>
      </c>
      <c r="F1449" s="655">
        <v>59546</v>
      </c>
      <c r="G1449" s="656" t="s">
        <v>81</v>
      </c>
      <c r="H1449" s="656" t="s">
        <v>1183</v>
      </c>
      <c r="I1449" s="656" t="s">
        <v>58</v>
      </c>
      <c r="J1449" s="655">
        <v>22</v>
      </c>
      <c r="K1449" s="655">
        <v>2</v>
      </c>
      <c r="L1449" s="656" t="s">
        <v>52</v>
      </c>
      <c r="M1449" s="656" t="s">
        <v>448</v>
      </c>
      <c r="N1449" s="656" t="s">
        <v>449</v>
      </c>
      <c r="O1449" s="656" t="s">
        <v>449</v>
      </c>
      <c r="P1449" s="656" t="s">
        <v>1176</v>
      </c>
      <c r="Q1449" s="657">
        <v>0</v>
      </c>
      <c r="R1449" s="657">
        <v>0</v>
      </c>
      <c r="S1449" s="657">
        <v>62405</v>
      </c>
      <c r="T1449" s="657">
        <v>62405</v>
      </c>
      <c r="U1449" s="657">
        <v>7057</v>
      </c>
      <c r="V1449" s="655">
        <v>2021</v>
      </c>
      <c r="W1449" s="659"/>
      <c r="X1449" s="660">
        <f t="shared" si="68"/>
        <v>8.8429927731330586</v>
      </c>
      <c r="Y1449" s="661" t="str">
        <f t="shared" si="66"/>
        <v/>
      </c>
      <c r="Z1449" s="661" t="str">
        <f t="shared" si="67"/>
        <v/>
      </c>
    </row>
    <row r="1450" spans="1:26" s="128" customFormat="1" ht="25" hidden="1">
      <c r="A1450" s="655">
        <v>59788</v>
      </c>
      <c r="B1450" s="656" t="s">
        <v>33</v>
      </c>
      <c r="C1450" s="655" t="s">
        <v>2793</v>
      </c>
      <c r="D1450" s="656" t="s">
        <v>1793</v>
      </c>
      <c r="E1450" s="656" t="s">
        <v>1922</v>
      </c>
      <c r="F1450" s="655">
        <v>60947</v>
      </c>
      <c r="G1450" s="656" t="s">
        <v>41</v>
      </c>
      <c r="H1450" s="656" t="s">
        <v>1183</v>
      </c>
      <c r="I1450" s="656" t="s">
        <v>58</v>
      </c>
      <c r="J1450" s="655">
        <v>22</v>
      </c>
      <c r="K1450" s="655">
        <v>2</v>
      </c>
      <c r="L1450" s="656" t="s">
        <v>52</v>
      </c>
      <c r="M1450" s="656" t="s">
        <v>448</v>
      </c>
      <c r="N1450" s="656" t="s">
        <v>449</v>
      </c>
      <c r="O1450" s="656" t="s">
        <v>449</v>
      </c>
      <c r="P1450" s="656" t="s">
        <v>1176</v>
      </c>
      <c r="Q1450" s="657">
        <v>0</v>
      </c>
      <c r="R1450" s="657">
        <v>0</v>
      </c>
      <c r="S1450" s="657">
        <v>10045</v>
      </c>
      <c r="T1450" s="657">
        <v>10045</v>
      </c>
      <c r="U1450" s="657">
        <v>1136</v>
      </c>
      <c r="V1450" s="655">
        <v>2021</v>
      </c>
      <c r="W1450" s="659"/>
      <c r="X1450" s="660">
        <f t="shared" si="68"/>
        <v>8.8424295774647881</v>
      </c>
      <c r="Y1450" s="661" t="str">
        <f t="shared" si="66"/>
        <v/>
      </c>
      <c r="Z1450" s="661" t="str">
        <f t="shared" si="67"/>
        <v/>
      </c>
    </row>
    <row r="1451" spans="1:26" s="128" customFormat="1" hidden="1">
      <c r="A1451" s="655">
        <v>59789</v>
      </c>
      <c r="B1451" s="656" t="s">
        <v>33</v>
      </c>
      <c r="C1451" s="655" t="s">
        <v>2793</v>
      </c>
      <c r="D1451" s="656" t="s">
        <v>1867</v>
      </c>
      <c r="E1451" s="656" t="s">
        <v>1922</v>
      </c>
      <c r="F1451" s="655">
        <v>60947</v>
      </c>
      <c r="G1451" s="656" t="s">
        <v>57</v>
      </c>
      <c r="H1451" s="656" t="s">
        <v>1182</v>
      </c>
      <c r="I1451" s="656" t="s">
        <v>58</v>
      </c>
      <c r="J1451" s="655">
        <v>22</v>
      </c>
      <c r="K1451" s="655">
        <v>2</v>
      </c>
      <c r="L1451" s="656" t="s">
        <v>52</v>
      </c>
      <c r="M1451" s="656" t="s">
        <v>448</v>
      </c>
      <c r="N1451" s="656" t="s">
        <v>449</v>
      </c>
      <c r="O1451" s="656" t="s">
        <v>449</v>
      </c>
      <c r="P1451" s="656" t="s">
        <v>1176</v>
      </c>
      <c r="Q1451" s="657">
        <v>0</v>
      </c>
      <c r="R1451" s="657">
        <v>0</v>
      </c>
      <c r="S1451" s="657">
        <v>17313</v>
      </c>
      <c r="T1451" s="657">
        <v>17313</v>
      </c>
      <c r="U1451" s="657">
        <v>1958</v>
      </c>
      <c r="V1451" s="655">
        <v>2021</v>
      </c>
      <c r="W1451" s="659"/>
      <c r="X1451" s="660">
        <f t="shared" si="68"/>
        <v>8.8421859039836566</v>
      </c>
      <c r="Y1451" s="661" t="str">
        <f t="shared" si="66"/>
        <v/>
      </c>
      <c r="Z1451" s="661" t="str">
        <f t="shared" si="67"/>
        <v/>
      </c>
    </row>
    <row r="1452" spans="1:26" s="128" customFormat="1" hidden="1">
      <c r="A1452" s="655">
        <v>59801</v>
      </c>
      <c r="B1452" s="656" t="s">
        <v>33</v>
      </c>
      <c r="C1452" s="655" t="s">
        <v>2793</v>
      </c>
      <c r="D1452" s="656" t="s">
        <v>1794</v>
      </c>
      <c r="E1452" s="656" t="s">
        <v>1795</v>
      </c>
      <c r="F1452" s="655">
        <v>57128</v>
      </c>
      <c r="G1452" s="656" t="s">
        <v>41</v>
      </c>
      <c r="H1452" s="656" t="s">
        <v>1183</v>
      </c>
      <c r="I1452" s="656" t="s">
        <v>58</v>
      </c>
      <c r="J1452" s="655">
        <v>22</v>
      </c>
      <c r="K1452" s="655">
        <v>2</v>
      </c>
      <c r="L1452" s="656" t="s">
        <v>52</v>
      </c>
      <c r="M1452" s="656" t="s">
        <v>1255</v>
      </c>
      <c r="N1452" s="656" t="s">
        <v>39</v>
      </c>
      <c r="O1452" s="656" t="s">
        <v>39</v>
      </c>
      <c r="P1452" s="656" t="s">
        <v>1037</v>
      </c>
      <c r="Q1452" s="657">
        <v>52002</v>
      </c>
      <c r="R1452" s="657">
        <v>52002</v>
      </c>
      <c r="S1452" s="657">
        <v>53561</v>
      </c>
      <c r="T1452" s="657">
        <v>53561</v>
      </c>
      <c r="U1452" s="657">
        <v>7395</v>
      </c>
      <c r="V1452" s="655">
        <v>2021</v>
      </c>
      <c r="W1452" s="659"/>
      <c r="X1452" s="660">
        <f t="shared" si="68"/>
        <v>7.2428668018931708</v>
      </c>
      <c r="Y1452" s="661" t="str">
        <f t="shared" si="66"/>
        <v/>
      </c>
      <c r="Z1452" s="661" t="str">
        <f t="shared" si="67"/>
        <v/>
      </c>
    </row>
    <row r="1453" spans="1:26" s="128" customFormat="1" ht="25">
      <c r="A1453" s="655">
        <v>59815</v>
      </c>
      <c r="B1453" s="656" t="s">
        <v>33</v>
      </c>
      <c r="C1453" s="655" t="s">
        <v>2793</v>
      </c>
      <c r="D1453" s="656" t="s">
        <v>1796</v>
      </c>
      <c r="E1453" s="656" t="s">
        <v>1797</v>
      </c>
      <c r="F1453" s="655">
        <v>59596</v>
      </c>
      <c r="G1453" s="656" t="s">
        <v>81</v>
      </c>
      <c r="H1453" s="656" t="s">
        <v>1183</v>
      </c>
      <c r="I1453" s="656" t="s">
        <v>58</v>
      </c>
      <c r="J1453" s="655">
        <v>22</v>
      </c>
      <c r="K1453" s="655">
        <v>2</v>
      </c>
      <c r="L1453" s="656" t="s">
        <v>52</v>
      </c>
      <c r="M1453" s="656" t="s">
        <v>51</v>
      </c>
      <c r="N1453" s="656" t="s">
        <v>63</v>
      </c>
      <c r="O1453" s="656" t="s">
        <v>64</v>
      </c>
      <c r="P1453" s="656" t="s">
        <v>1037</v>
      </c>
      <c r="Q1453" s="657">
        <v>176892</v>
      </c>
      <c r="R1453" s="657">
        <v>176892</v>
      </c>
      <c r="S1453" s="657">
        <v>106135</v>
      </c>
      <c r="T1453" s="657">
        <v>106135</v>
      </c>
      <c r="U1453" s="657">
        <v>4066</v>
      </c>
      <c r="V1453" s="655">
        <v>2021</v>
      </c>
      <c r="W1453" s="659"/>
      <c r="X1453" s="660">
        <f t="shared" si="68"/>
        <v>26.103049680275454</v>
      </c>
      <c r="Y1453" s="661" t="str">
        <f t="shared" si="66"/>
        <v/>
      </c>
      <c r="Z1453" s="661" t="str">
        <f t="shared" si="67"/>
        <v/>
      </c>
    </row>
    <row r="1454" spans="1:26" s="128" customFormat="1" ht="25" hidden="1">
      <c r="A1454" s="655">
        <v>59816</v>
      </c>
      <c r="B1454" s="656" t="s">
        <v>33</v>
      </c>
      <c r="C1454" s="655" t="s">
        <v>2793</v>
      </c>
      <c r="D1454" s="656" t="s">
        <v>1798</v>
      </c>
      <c r="E1454" s="656" t="s">
        <v>1799</v>
      </c>
      <c r="F1454" s="655">
        <v>59597</v>
      </c>
      <c r="G1454" s="656" t="s">
        <v>57</v>
      </c>
      <c r="H1454" s="656" t="s">
        <v>1182</v>
      </c>
      <c r="I1454" s="656" t="s">
        <v>58</v>
      </c>
      <c r="J1454" s="655">
        <v>22</v>
      </c>
      <c r="K1454" s="655">
        <v>2</v>
      </c>
      <c r="L1454" s="656" t="s">
        <v>52</v>
      </c>
      <c r="M1454" s="656" t="s">
        <v>51</v>
      </c>
      <c r="N1454" s="656" t="s">
        <v>63</v>
      </c>
      <c r="O1454" s="656" t="s">
        <v>64</v>
      </c>
      <c r="P1454" s="656" t="s">
        <v>1037</v>
      </c>
      <c r="Q1454" s="657">
        <v>667708</v>
      </c>
      <c r="R1454" s="657">
        <v>667708</v>
      </c>
      <c r="S1454" s="657">
        <v>240376</v>
      </c>
      <c r="T1454" s="657">
        <v>240376</v>
      </c>
      <c r="U1454" s="657">
        <v>24532</v>
      </c>
      <c r="V1454" s="655">
        <v>2021</v>
      </c>
      <c r="W1454" s="659"/>
      <c r="X1454" s="660">
        <f t="shared" si="68"/>
        <v>9.7984673080058702</v>
      </c>
      <c r="Y1454" s="661" t="str">
        <f t="shared" si="66"/>
        <v/>
      </c>
      <c r="Z1454" s="661" t="str">
        <f t="shared" si="67"/>
        <v/>
      </c>
    </row>
    <row r="1455" spans="1:26" s="128" customFormat="1" ht="25">
      <c r="A1455" s="655">
        <v>59820</v>
      </c>
      <c r="B1455" s="656" t="s">
        <v>33</v>
      </c>
      <c r="C1455" s="655" t="s">
        <v>2793</v>
      </c>
      <c r="D1455" s="656" t="s">
        <v>1800</v>
      </c>
      <c r="E1455" s="656" t="s">
        <v>1989</v>
      </c>
      <c r="F1455" s="655">
        <v>60281</v>
      </c>
      <c r="G1455" s="656" t="s">
        <v>81</v>
      </c>
      <c r="H1455" s="656" t="s">
        <v>1183</v>
      </c>
      <c r="I1455" s="656" t="s">
        <v>58</v>
      </c>
      <c r="J1455" s="655">
        <v>22</v>
      </c>
      <c r="K1455" s="655">
        <v>2</v>
      </c>
      <c r="L1455" s="656" t="s">
        <v>52</v>
      </c>
      <c r="M1455" s="656" t="s">
        <v>448</v>
      </c>
      <c r="N1455" s="656" t="s">
        <v>449</v>
      </c>
      <c r="O1455" s="656" t="s">
        <v>449</v>
      </c>
      <c r="P1455" s="656" t="s">
        <v>1176</v>
      </c>
      <c r="Q1455" s="657">
        <v>0</v>
      </c>
      <c r="R1455" s="657">
        <v>0</v>
      </c>
      <c r="S1455" s="657">
        <v>31490</v>
      </c>
      <c r="T1455" s="657">
        <v>31490</v>
      </c>
      <c r="U1455" s="657">
        <v>3561</v>
      </c>
      <c r="V1455" s="655">
        <v>2021</v>
      </c>
      <c r="W1455" s="659"/>
      <c r="X1455" s="660">
        <f t="shared" si="68"/>
        <v>8.8430216231395669</v>
      </c>
      <c r="Y1455" s="661" t="str">
        <f t="shared" si="66"/>
        <v/>
      </c>
      <c r="Z1455" s="661" t="str">
        <f t="shared" si="67"/>
        <v/>
      </c>
    </row>
    <row r="1456" spans="1:26" s="128" customFormat="1" ht="25">
      <c r="A1456" s="655">
        <v>59821</v>
      </c>
      <c r="B1456" s="656" t="s">
        <v>33</v>
      </c>
      <c r="C1456" s="655" t="s">
        <v>2793</v>
      </c>
      <c r="D1456" s="656" t="s">
        <v>1801</v>
      </c>
      <c r="E1456" s="656" t="s">
        <v>1989</v>
      </c>
      <c r="F1456" s="655">
        <v>60281</v>
      </c>
      <c r="G1456" s="656" t="s">
        <v>81</v>
      </c>
      <c r="H1456" s="656" t="s">
        <v>1183</v>
      </c>
      <c r="I1456" s="656" t="s">
        <v>58</v>
      </c>
      <c r="J1456" s="655">
        <v>22</v>
      </c>
      <c r="K1456" s="655">
        <v>2</v>
      </c>
      <c r="L1456" s="656" t="s">
        <v>52</v>
      </c>
      <c r="M1456" s="656" t="s">
        <v>448</v>
      </c>
      <c r="N1456" s="656" t="s">
        <v>449</v>
      </c>
      <c r="O1456" s="656" t="s">
        <v>449</v>
      </c>
      <c r="P1456" s="656" t="s">
        <v>1176</v>
      </c>
      <c r="Q1456" s="657">
        <v>0</v>
      </c>
      <c r="R1456" s="657">
        <v>0</v>
      </c>
      <c r="S1456" s="657">
        <v>33771</v>
      </c>
      <c r="T1456" s="657">
        <v>33771</v>
      </c>
      <c r="U1456" s="657">
        <v>3819</v>
      </c>
      <c r="V1456" s="655">
        <v>2021</v>
      </c>
      <c r="W1456" s="659"/>
      <c r="X1456" s="660">
        <f t="shared" si="68"/>
        <v>8.8428908091123333</v>
      </c>
      <c r="Y1456" s="661" t="str">
        <f t="shared" si="66"/>
        <v/>
      </c>
      <c r="Z1456" s="661" t="str">
        <f t="shared" si="67"/>
        <v/>
      </c>
    </row>
    <row r="1457" spans="1:26" s="128" customFormat="1" ht="25">
      <c r="A1457" s="655">
        <v>59822</v>
      </c>
      <c r="B1457" s="656" t="s">
        <v>33</v>
      </c>
      <c r="C1457" s="655" t="s">
        <v>2793</v>
      </c>
      <c r="D1457" s="656" t="s">
        <v>1802</v>
      </c>
      <c r="E1457" s="656" t="s">
        <v>1989</v>
      </c>
      <c r="F1457" s="655">
        <v>60281</v>
      </c>
      <c r="G1457" s="656" t="s">
        <v>81</v>
      </c>
      <c r="H1457" s="656" t="s">
        <v>1183</v>
      </c>
      <c r="I1457" s="656" t="s">
        <v>58</v>
      </c>
      <c r="J1457" s="655">
        <v>22</v>
      </c>
      <c r="K1457" s="655">
        <v>2</v>
      </c>
      <c r="L1457" s="656" t="s">
        <v>52</v>
      </c>
      <c r="M1457" s="656" t="s">
        <v>448</v>
      </c>
      <c r="N1457" s="656" t="s">
        <v>449</v>
      </c>
      <c r="O1457" s="656" t="s">
        <v>449</v>
      </c>
      <c r="P1457" s="656" t="s">
        <v>1176</v>
      </c>
      <c r="Q1457" s="657">
        <v>0</v>
      </c>
      <c r="R1457" s="657">
        <v>0</v>
      </c>
      <c r="S1457" s="657">
        <v>23026</v>
      </c>
      <c r="T1457" s="657">
        <v>23026</v>
      </c>
      <c r="U1457" s="657">
        <v>2604</v>
      </c>
      <c r="V1457" s="655">
        <v>2021</v>
      </c>
      <c r="W1457" s="659"/>
      <c r="X1457" s="660">
        <f t="shared" si="68"/>
        <v>8.8425499231950848</v>
      </c>
      <c r="Y1457" s="661" t="str">
        <f t="shared" si="66"/>
        <v/>
      </c>
      <c r="Z1457" s="661" t="str">
        <f t="shared" si="67"/>
        <v/>
      </c>
    </row>
    <row r="1458" spans="1:26" s="128" customFormat="1">
      <c r="A1458" s="655">
        <v>59839</v>
      </c>
      <c r="B1458" s="656" t="s">
        <v>33</v>
      </c>
      <c r="C1458" s="655" t="s">
        <v>2793</v>
      </c>
      <c r="D1458" s="656" t="s">
        <v>1868</v>
      </c>
      <c r="E1458" s="656" t="s">
        <v>2210</v>
      </c>
      <c r="F1458" s="655">
        <v>61012</v>
      </c>
      <c r="G1458" s="656" t="s">
        <v>81</v>
      </c>
      <c r="H1458" s="656" t="s">
        <v>1183</v>
      </c>
      <c r="I1458" s="656" t="s">
        <v>58</v>
      </c>
      <c r="J1458" s="655">
        <v>22</v>
      </c>
      <c r="K1458" s="655">
        <v>2</v>
      </c>
      <c r="L1458" s="656" t="s">
        <v>52</v>
      </c>
      <c r="M1458" s="656" t="s">
        <v>448</v>
      </c>
      <c r="N1458" s="656" t="s">
        <v>449</v>
      </c>
      <c r="O1458" s="656" t="s">
        <v>449</v>
      </c>
      <c r="P1458" s="656" t="s">
        <v>1176</v>
      </c>
      <c r="Q1458" s="657">
        <v>0</v>
      </c>
      <c r="R1458" s="657">
        <v>0</v>
      </c>
      <c r="S1458" s="657">
        <v>24612</v>
      </c>
      <c r="T1458" s="657">
        <v>24612</v>
      </c>
      <c r="U1458" s="657">
        <v>2783</v>
      </c>
      <c r="V1458" s="655">
        <v>2021</v>
      </c>
      <c r="W1458" s="659"/>
      <c r="X1458" s="660">
        <f t="shared" si="68"/>
        <v>8.8436938555515638</v>
      </c>
      <c r="Y1458" s="661" t="str">
        <f t="shared" si="66"/>
        <v/>
      </c>
      <c r="Z1458" s="661" t="str">
        <f t="shared" si="67"/>
        <v/>
      </c>
    </row>
    <row r="1459" spans="1:26" s="128" customFormat="1" hidden="1">
      <c r="A1459" s="655">
        <v>59858</v>
      </c>
      <c r="B1459" s="656" t="s">
        <v>33</v>
      </c>
      <c r="C1459" s="655" t="s">
        <v>2793</v>
      </c>
      <c r="D1459" s="656" t="s">
        <v>1869</v>
      </c>
      <c r="E1459" s="656" t="s">
        <v>3376</v>
      </c>
      <c r="F1459" s="655">
        <v>59209</v>
      </c>
      <c r="G1459" s="656" t="s">
        <v>131</v>
      </c>
      <c r="H1459" s="656" t="s">
        <v>1183</v>
      </c>
      <c r="I1459" s="656" t="s">
        <v>58</v>
      </c>
      <c r="J1459" s="655">
        <v>22</v>
      </c>
      <c r="K1459" s="655">
        <v>2</v>
      </c>
      <c r="L1459" s="656" t="s">
        <v>52</v>
      </c>
      <c r="M1459" s="656" t="s">
        <v>448</v>
      </c>
      <c r="N1459" s="656" t="s">
        <v>449</v>
      </c>
      <c r="O1459" s="656" t="s">
        <v>449</v>
      </c>
      <c r="P1459" s="656" t="s">
        <v>1176</v>
      </c>
      <c r="Q1459" s="657">
        <v>0</v>
      </c>
      <c r="R1459" s="657">
        <v>0</v>
      </c>
      <c r="S1459" s="657">
        <v>14546</v>
      </c>
      <c r="T1459" s="657">
        <v>14546</v>
      </c>
      <c r="U1459" s="657">
        <v>1645</v>
      </c>
      <c r="V1459" s="655">
        <v>2021</v>
      </c>
      <c r="W1459" s="659"/>
      <c r="X1459" s="660">
        <f t="shared" si="68"/>
        <v>8.8425531914893618</v>
      </c>
      <c r="Y1459" s="661" t="str">
        <f t="shared" si="66"/>
        <v/>
      </c>
      <c r="Z1459" s="661" t="str">
        <f t="shared" si="67"/>
        <v/>
      </c>
    </row>
    <row r="1460" spans="1:26" s="128" customFormat="1">
      <c r="A1460" s="655">
        <v>59873</v>
      </c>
      <c r="B1460" s="656" t="s">
        <v>33</v>
      </c>
      <c r="C1460" s="655" t="s">
        <v>2793</v>
      </c>
      <c r="D1460" s="656" t="s">
        <v>1803</v>
      </c>
      <c r="E1460" s="656" t="s">
        <v>1769</v>
      </c>
      <c r="F1460" s="655">
        <v>59286</v>
      </c>
      <c r="G1460" s="656" t="s">
        <v>81</v>
      </c>
      <c r="H1460" s="656" t="s">
        <v>1183</v>
      </c>
      <c r="I1460" s="656" t="s">
        <v>58</v>
      </c>
      <c r="J1460" s="655">
        <v>22</v>
      </c>
      <c r="K1460" s="655">
        <v>2</v>
      </c>
      <c r="L1460" s="656" t="s">
        <v>52</v>
      </c>
      <c r="M1460" s="656" t="s">
        <v>448</v>
      </c>
      <c r="N1460" s="656" t="s">
        <v>449</v>
      </c>
      <c r="O1460" s="656" t="s">
        <v>449</v>
      </c>
      <c r="P1460" s="656" t="s">
        <v>1176</v>
      </c>
      <c r="Q1460" s="657">
        <v>0</v>
      </c>
      <c r="R1460" s="657">
        <v>0</v>
      </c>
      <c r="S1460" s="657">
        <v>11380</v>
      </c>
      <c r="T1460" s="657">
        <v>11380</v>
      </c>
      <c r="U1460" s="657">
        <v>1287</v>
      </c>
      <c r="V1460" s="655">
        <v>2021</v>
      </c>
      <c r="W1460" s="659"/>
      <c r="X1460" s="660">
        <f t="shared" si="68"/>
        <v>8.842268842268842</v>
      </c>
      <c r="Y1460" s="661" t="str">
        <f t="shared" si="66"/>
        <v/>
      </c>
      <c r="Z1460" s="661" t="str">
        <f t="shared" si="67"/>
        <v/>
      </c>
    </row>
    <row r="1461" spans="1:26" s="128" customFormat="1" hidden="1">
      <c r="A1461" s="655">
        <v>59880</v>
      </c>
      <c r="B1461" s="656" t="s">
        <v>33</v>
      </c>
      <c r="C1461" s="655" t="s">
        <v>2793</v>
      </c>
      <c r="D1461" s="656" t="s">
        <v>2812</v>
      </c>
      <c r="E1461" s="656" t="s">
        <v>2813</v>
      </c>
      <c r="F1461" s="655">
        <v>62710</v>
      </c>
      <c r="G1461" s="656" t="s">
        <v>57</v>
      </c>
      <c r="H1461" s="656" t="s">
        <v>1182</v>
      </c>
      <c r="I1461" s="656" t="s">
        <v>58</v>
      </c>
      <c r="J1461" s="655">
        <v>22</v>
      </c>
      <c r="K1461" s="655">
        <v>2</v>
      </c>
      <c r="L1461" s="656" t="s">
        <v>52</v>
      </c>
      <c r="M1461" s="656" t="s">
        <v>448</v>
      </c>
      <c r="N1461" s="656" t="s">
        <v>449</v>
      </c>
      <c r="O1461" s="656" t="s">
        <v>449</v>
      </c>
      <c r="P1461" s="656" t="s">
        <v>1176</v>
      </c>
      <c r="Q1461" s="657">
        <v>0</v>
      </c>
      <c r="R1461" s="657">
        <v>0</v>
      </c>
      <c r="S1461" s="657">
        <v>33048</v>
      </c>
      <c r="T1461" s="657">
        <v>33048</v>
      </c>
      <c r="U1461" s="657">
        <v>3737</v>
      </c>
      <c r="V1461" s="655">
        <v>2021</v>
      </c>
      <c r="W1461" s="659"/>
      <c r="X1461" s="660">
        <f t="shared" si="68"/>
        <v>8.8434573187048429</v>
      </c>
      <c r="Y1461" s="661" t="str">
        <f t="shared" si="66"/>
        <v/>
      </c>
      <c r="Z1461" s="661" t="str">
        <f t="shared" si="67"/>
        <v/>
      </c>
    </row>
    <row r="1462" spans="1:26" s="128" customFormat="1" hidden="1">
      <c r="A1462" s="655">
        <v>59881</v>
      </c>
      <c r="B1462" s="656" t="s">
        <v>33</v>
      </c>
      <c r="C1462" s="655" t="s">
        <v>2793</v>
      </c>
      <c r="D1462" s="656" t="s">
        <v>2814</v>
      </c>
      <c r="E1462" s="656" t="s">
        <v>2813</v>
      </c>
      <c r="F1462" s="655">
        <v>62710</v>
      </c>
      <c r="G1462" s="656" t="s">
        <v>57</v>
      </c>
      <c r="H1462" s="656" t="s">
        <v>1182</v>
      </c>
      <c r="I1462" s="656" t="s">
        <v>58</v>
      </c>
      <c r="J1462" s="655">
        <v>22</v>
      </c>
      <c r="K1462" s="655">
        <v>2</v>
      </c>
      <c r="L1462" s="656" t="s">
        <v>52</v>
      </c>
      <c r="M1462" s="656" t="s">
        <v>448</v>
      </c>
      <c r="N1462" s="656" t="s">
        <v>449</v>
      </c>
      <c r="O1462" s="656" t="s">
        <v>449</v>
      </c>
      <c r="P1462" s="656" t="s">
        <v>1176</v>
      </c>
      <c r="Q1462" s="657">
        <v>0</v>
      </c>
      <c r="R1462" s="657">
        <v>0</v>
      </c>
      <c r="S1462" s="657">
        <v>33048</v>
      </c>
      <c r="T1462" s="657">
        <v>33048</v>
      </c>
      <c r="U1462" s="657">
        <v>3737</v>
      </c>
      <c r="V1462" s="655">
        <v>2021</v>
      </c>
      <c r="W1462" s="659"/>
      <c r="X1462" s="660">
        <f t="shared" si="68"/>
        <v>8.8434573187048429</v>
      </c>
      <c r="Y1462" s="661" t="str">
        <f t="shared" si="66"/>
        <v/>
      </c>
      <c r="Z1462" s="661" t="str">
        <f t="shared" si="67"/>
        <v/>
      </c>
    </row>
    <row r="1463" spans="1:26" s="128" customFormat="1" ht="25">
      <c r="A1463" s="655">
        <v>59882</v>
      </c>
      <c r="B1463" s="656" t="s">
        <v>33</v>
      </c>
      <c r="C1463" s="655" t="s">
        <v>2793</v>
      </c>
      <c r="D1463" s="656" t="s">
        <v>2815</v>
      </c>
      <c r="E1463" s="656" t="s">
        <v>597</v>
      </c>
      <c r="F1463" s="655">
        <v>6035</v>
      </c>
      <c r="G1463" s="656" t="s">
        <v>81</v>
      </c>
      <c r="H1463" s="656" t="s">
        <v>1183</v>
      </c>
      <c r="I1463" s="656" t="s">
        <v>58</v>
      </c>
      <c r="J1463" s="655">
        <v>22</v>
      </c>
      <c r="K1463" s="655">
        <v>2</v>
      </c>
      <c r="L1463" s="656" t="s">
        <v>52</v>
      </c>
      <c r="M1463" s="656" t="s">
        <v>50</v>
      </c>
      <c r="N1463" s="656" t="s">
        <v>46</v>
      </c>
      <c r="O1463" s="656" t="s">
        <v>46</v>
      </c>
      <c r="P1463" s="656" t="s">
        <v>47</v>
      </c>
      <c r="Q1463" s="657">
        <v>0</v>
      </c>
      <c r="R1463" s="657">
        <v>0</v>
      </c>
      <c r="S1463" s="657">
        <v>0</v>
      </c>
      <c r="T1463" s="657">
        <v>0</v>
      </c>
      <c r="U1463" s="657">
        <v>0</v>
      </c>
      <c r="V1463" s="655">
        <v>2021</v>
      </c>
      <c r="W1463" s="659"/>
      <c r="X1463" s="660" t="str">
        <f t="shared" si="68"/>
        <v/>
      </c>
      <c r="Y1463" s="661" t="str">
        <f t="shared" si="66"/>
        <v/>
      </c>
      <c r="Z1463" s="661" t="str">
        <f t="shared" si="67"/>
        <v/>
      </c>
    </row>
    <row r="1464" spans="1:26" s="128" customFormat="1" ht="25">
      <c r="A1464" s="655">
        <v>59882</v>
      </c>
      <c r="B1464" s="656" t="s">
        <v>33</v>
      </c>
      <c r="C1464" s="655" t="s">
        <v>2793</v>
      </c>
      <c r="D1464" s="656" t="s">
        <v>2815</v>
      </c>
      <c r="E1464" s="656" t="s">
        <v>597</v>
      </c>
      <c r="F1464" s="655">
        <v>6035</v>
      </c>
      <c r="G1464" s="656" t="s">
        <v>81</v>
      </c>
      <c r="H1464" s="656" t="s">
        <v>1183</v>
      </c>
      <c r="I1464" s="656" t="s">
        <v>58</v>
      </c>
      <c r="J1464" s="655">
        <v>22</v>
      </c>
      <c r="K1464" s="655">
        <v>2</v>
      </c>
      <c r="L1464" s="656" t="s">
        <v>52</v>
      </c>
      <c r="M1464" s="656" t="s">
        <v>50</v>
      </c>
      <c r="N1464" s="656" t="s">
        <v>76</v>
      </c>
      <c r="O1464" s="656" t="s">
        <v>67</v>
      </c>
      <c r="P1464" s="656" t="s">
        <v>47</v>
      </c>
      <c r="Q1464" s="657">
        <v>846</v>
      </c>
      <c r="R1464" s="657">
        <v>846</v>
      </c>
      <c r="S1464" s="657">
        <v>4879</v>
      </c>
      <c r="T1464" s="657">
        <v>4879</v>
      </c>
      <c r="U1464" s="657">
        <v>467.57499999999999</v>
      </c>
      <c r="V1464" s="655">
        <v>2021</v>
      </c>
      <c r="W1464" s="659"/>
      <c r="X1464" s="660">
        <f t="shared" si="68"/>
        <v>10.434689621985777</v>
      </c>
      <c r="Y1464" s="661" t="str">
        <f t="shared" si="66"/>
        <v/>
      </c>
      <c r="Z1464" s="661" t="str">
        <f t="shared" si="67"/>
        <v/>
      </c>
    </row>
    <row r="1465" spans="1:26" s="128" customFormat="1" ht="25">
      <c r="A1465" s="655">
        <v>59882</v>
      </c>
      <c r="B1465" s="656" t="s">
        <v>33</v>
      </c>
      <c r="C1465" s="655" t="s">
        <v>2793</v>
      </c>
      <c r="D1465" s="656" t="s">
        <v>2815</v>
      </c>
      <c r="E1465" s="656" t="s">
        <v>597</v>
      </c>
      <c r="F1465" s="655">
        <v>6035</v>
      </c>
      <c r="G1465" s="656" t="s">
        <v>81</v>
      </c>
      <c r="H1465" s="656" t="s">
        <v>1183</v>
      </c>
      <c r="I1465" s="656" t="s">
        <v>58</v>
      </c>
      <c r="J1465" s="655">
        <v>22</v>
      </c>
      <c r="K1465" s="655">
        <v>2</v>
      </c>
      <c r="L1465" s="656" t="s">
        <v>52</v>
      </c>
      <c r="M1465" s="656" t="s">
        <v>50</v>
      </c>
      <c r="N1465" s="656" t="s">
        <v>39</v>
      </c>
      <c r="O1465" s="656" t="s">
        <v>39</v>
      </c>
      <c r="P1465" s="656" t="s">
        <v>1037</v>
      </c>
      <c r="Q1465" s="657">
        <v>1875931</v>
      </c>
      <c r="R1465" s="657">
        <v>1875931</v>
      </c>
      <c r="S1465" s="657">
        <v>1941589</v>
      </c>
      <c r="T1465" s="657">
        <v>1941589</v>
      </c>
      <c r="U1465" s="657">
        <v>190438.43</v>
      </c>
      <c r="V1465" s="655">
        <v>2021</v>
      </c>
      <c r="W1465" s="659"/>
      <c r="X1465" s="660">
        <f t="shared" si="68"/>
        <v>10.195363404329683</v>
      </c>
      <c r="Y1465" s="661" t="str">
        <f t="shared" si="66"/>
        <v/>
      </c>
      <c r="Z1465" s="661" t="str">
        <f t="shared" si="67"/>
        <v/>
      </c>
    </row>
    <row r="1466" spans="1:26" s="128" customFormat="1" ht="25">
      <c r="A1466" s="655">
        <v>59927</v>
      </c>
      <c r="B1466" s="656" t="s">
        <v>33</v>
      </c>
      <c r="C1466" s="655" t="s">
        <v>2793</v>
      </c>
      <c r="D1466" s="656" t="s">
        <v>1946</v>
      </c>
      <c r="E1466" s="656" t="s">
        <v>1657</v>
      </c>
      <c r="F1466" s="655">
        <v>58871</v>
      </c>
      <c r="G1466" s="656" t="s">
        <v>81</v>
      </c>
      <c r="H1466" s="656" t="s">
        <v>1183</v>
      </c>
      <c r="I1466" s="656" t="s">
        <v>58</v>
      </c>
      <c r="J1466" s="655">
        <v>22</v>
      </c>
      <c r="K1466" s="655">
        <v>2</v>
      </c>
      <c r="L1466" s="656" t="s">
        <v>52</v>
      </c>
      <c r="M1466" s="656" t="s">
        <v>448</v>
      </c>
      <c r="N1466" s="656" t="s">
        <v>449</v>
      </c>
      <c r="O1466" s="656" t="s">
        <v>449</v>
      </c>
      <c r="P1466" s="656" t="s">
        <v>1176</v>
      </c>
      <c r="Q1466" s="657">
        <v>0</v>
      </c>
      <c r="R1466" s="657">
        <v>0</v>
      </c>
      <c r="S1466" s="657">
        <v>65783</v>
      </c>
      <c r="T1466" s="657">
        <v>65783</v>
      </c>
      <c r="U1466" s="657">
        <v>7439</v>
      </c>
      <c r="V1466" s="655">
        <v>2021</v>
      </c>
      <c r="W1466" s="659"/>
      <c r="X1466" s="660">
        <f t="shared" si="68"/>
        <v>8.8429896491463911</v>
      </c>
      <c r="Y1466" s="661" t="str">
        <f t="shared" si="66"/>
        <v/>
      </c>
      <c r="Z1466" s="661" t="str">
        <f t="shared" si="67"/>
        <v/>
      </c>
    </row>
    <row r="1467" spans="1:26" s="128" customFormat="1" hidden="1">
      <c r="A1467" s="655">
        <v>59953</v>
      </c>
      <c r="B1467" s="656" t="s">
        <v>33</v>
      </c>
      <c r="C1467" s="655" t="s">
        <v>2793</v>
      </c>
      <c r="D1467" s="656" t="s">
        <v>2816</v>
      </c>
      <c r="E1467" s="656" t="s">
        <v>2817</v>
      </c>
      <c r="F1467" s="655">
        <v>59714</v>
      </c>
      <c r="G1467" s="656" t="s">
        <v>96</v>
      </c>
      <c r="H1467" s="656" t="s">
        <v>1183</v>
      </c>
      <c r="I1467" s="656" t="s">
        <v>58</v>
      </c>
      <c r="J1467" s="655">
        <v>22</v>
      </c>
      <c r="K1467" s="655">
        <v>2</v>
      </c>
      <c r="L1467" s="656" t="s">
        <v>52</v>
      </c>
      <c r="M1467" s="656" t="s">
        <v>71</v>
      </c>
      <c r="N1467" s="656" t="s">
        <v>72</v>
      </c>
      <c r="O1467" s="656" t="s">
        <v>72</v>
      </c>
      <c r="P1467" s="656" t="s">
        <v>1176</v>
      </c>
      <c r="Q1467" s="657">
        <v>0</v>
      </c>
      <c r="R1467" s="657">
        <v>0</v>
      </c>
      <c r="S1467" s="657">
        <v>690233</v>
      </c>
      <c r="T1467" s="657">
        <v>690233</v>
      </c>
      <c r="U1467" s="657">
        <v>78054</v>
      </c>
      <c r="V1467" s="655">
        <v>2021</v>
      </c>
      <c r="W1467" s="659"/>
      <c r="X1467" s="660">
        <f t="shared" si="68"/>
        <v>8.843018935608681</v>
      </c>
      <c r="Y1467" s="661" t="str">
        <f t="shared" si="66"/>
        <v/>
      </c>
      <c r="Z1467" s="661" t="str">
        <f t="shared" si="67"/>
        <v/>
      </c>
    </row>
    <row r="1468" spans="1:26" s="128" customFormat="1">
      <c r="A1468" s="655">
        <v>59980</v>
      </c>
      <c r="B1468" s="656" t="s">
        <v>33</v>
      </c>
      <c r="C1468" s="655" t="s">
        <v>2793</v>
      </c>
      <c r="D1468" s="656" t="s">
        <v>3133</v>
      </c>
      <c r="E1468" s="656" t="s">
        <v>2247</v>
      </c>
      <c r="F1468" s="655">
        <v>61227</v>
      </c>
      <c r="G1468" s="656" t="s">
        <v>81</v>
      </c>
      <c r="H1468" s="656" t="s">
        <v>1183</v>
      </c>
      <c r="I1468" s="656" t="s">
        <v>58</v>
      </c>
      <c r="J1468" s="655">
        <v>22</v>
      </c>
      <c r="K1468" s="655">
        <v>2</v>
      </c>
      <c r="L1468" s="656" t="s">
        <v>52</v>
      </c>
      <c r="M1468" s="656" t="s">
        <v>448</v>
      </c>
      <c r="N1468" s="656" t="s">
        <v>449</v>
      </c>
      <c r="O1468" s="656" t="s">
        <v>449</v>
      </c>
      <c r="P1468" s="656" t="s">
        <v>1176</v>
      </c>
      <c r="Q1468" s="657">
        <v>0</v>
      </c>
      <c r="R1468" s="657">
        <v>0</v>
      </c>
      <c r="S1468" s="657">
        <v>20480</v>
      </c>
      <c r="T1468" s="657">
        <v>20480</v>
      </c>
      <c r="U1468" s="657">
        <v>2316</v>
      </c>
      <c r="V1468" s="655">
        <v>2021</v>
      </c>
      <c r="W1468" s="659"/>
      <c r="X1468" s="660">
        <f t="shared" si="68"/>
        <v>8.842832469775475</v>
      </c>
      <c r="Y1468" s="661" t="str">
        <f t="shared" si="66"/>
        <v/>
      </c>
      <c r="Z1468" s="661" t="str">
        <f t="shared" si="67"/>
        <v/>
      </c>
    </row>
    <row r="1469" spans="1:26" s="128" customFormat="1" ht="25" hidden="1">
      <c r="A1469" s="655">
        <v>60004</v>
      </c>
      <c r="B1469" s="656" t="s">
        <v>33</v>
      </c>
      <c r="C1469" s="655" t="s">
        <v>2793</v>
      </c>
      <c r="D1469" s="656" t="s">
        <v>1870</v>
      </c>
      <c r="E1469" s="656" t="s">
        <v>1947</v>
      </c>
      <c r="F1469" s="655">
        <v>60790</v>
      </c>
      <c r="G1469" s="656" t="s">
        <v>57</v>
      </c>
      <c r="H1469" s="656" t="s">
        <v>1182</v>
      </c>
      <c r="I1469" s="656" t="s">
        <v>58</v>
      </c>
      <c r="J1469" s="655">
        <v>22</v>
      </c>
      <c r="K1469" s="655">
        <v>2</v>
      </c>
      <c r="L1469" s="656" t="s">
        <v>52</v>
      </c>
      <c r="M1469" s="656" t="s">
        <v>448</v>
      </c>
      <c r="N1469" s="656" t="s">
        <v>449</v>
      </c>
      <c r="O1469" s="656" t="s">
        <v>449</v>
      </c>
      <c r="P1469" s="656" t="s">
        <v>1176</v>
      </c>
      <c r="Q1469" s="657">
        <v>0</v>
      </c>
      <c r="R1469" s="657">
        <v>0</v>
      </c>
      <c r="S1469" s="657">
        <v>23980</v>
      </c>
      <c r="T1469" s="657">
        <v>23980</v>
      </c>
      <c r="U1469" s="657">
        <v>2712</v>
      </c>
      <c r="V1469" s="655">
        <v>2021</v>
      </c>
      <c r="W1469" s="659"/>
      <c r="X1469" s="660">
        <f t="shared" si="68"/>
        <v>8.8421828908554581</v>
      </c>
      <c r="Y1469" s="661" t="str">
        <f t="shared" si="66"/>
        <v/>
      </c>
      <c r="Z1469" s="661" t="str">
        <f t="shared" si="67"/>
        <v/>
      </c>
    </row>
    <row r="1470" spans="1:26" s="128" customFormat="1">
      <c r="A1470" s="655">
        <v>60022</v>
      </c>
      <c r="B1470" s="656" t="s">
        <v>33</v>
      </c>
      <c r="C1470" s="655" t="s">
        <v>2793</v>
      </c>
      <c r="D1470" s="656" t="s">
        <v>1871</v>
      </c>
      <c r="E1470" s="656" t="s">
        <v>3134</v>
      </c>
      <c r="F1470" s="655">
        <v>63621</v>
      </c>
      <c r="G1470" s="656" t="s">
        <v>81</v>
      </c>
      <c r="H1470" s="656" t="s">
        <v>1183</v>
      </c>
      <c r="I1470" s="656" t="s">
        <v>58</v>
      </c>
      <c r="J1470" s="655">
        <v>22</v>
      </c>
      <c r="K1470" s="655">
        <v>2</v>
      </c>
      <c r="L1470" s="656" t="s">
        <v>52</v>
      </c>
      <c r="M1470" s="656" t="s">
        <v>448</v>
      </c>
      <c r="N1470" s="656" t="s">
        <v>449</v>
      </c>
      <c r="O1470" s="656" t="s">
        <v>449</v>
      </c>
      <c r="P1470" s="656" t="s">
        <v>1176</v>
      </c>
      <c r="Q1470" s="657">
        <v>0</v>
      </c>
      <c r="R1470" s="657">
        <v>0</v>
      </c>
      <c r="S1470" s="657">
        <v>29881</v>
      </c>
      <c r="T1470" s="657">
        <v>29881</v>
      </c>
      <c r="U1470" s="657">
        <v>3379</v>
      </c>
      <c r="V1470" s="655">
        <v>2021</v>
      </c>
      <c r="W1470" s="659"/>
      <c r="X1470" s="660">
        <f t="shared" si="68"/>
        <v>8.8431488606096487</v>
      </c>
      <c r="Y1470" s="661" t="str">
        <f t="shared" si="66"/>
        <v/>
      </c>
      <c r="Z1470" s="661" t="str">
        <f t="shared" si="67"/>
        <v/>
      </c>
    </row>
    <row r="1471" spans="1:26" s="128" customFormat="1" ht="25" hidden="1">
      <c r="A1471" s="655">
        <v>60040</v>
      </c>
      <c r="B1471" s="656" t="s">
        <v>33</v>
      </c>
      <c r="C1471" s="655" t="s">
        <v>2793</v>
      </c>
      <c r="D1471" s="656" t="s">
        <v>1872</v>
      </c>
      <c r="E1471" s="656" t="s">
        <v>1873</v>
      </c>
      <c r="F1471" s="655">
        <v>19497</v>
      </c>
      <c r="G1471" s="656" t="s">
        <v>41</v>
      </c>
      <c r="H1471" s="656" t="s">
        <v>1183</v>
      </c>
      <c r="I1471" s="656" t="s">
        <v>58</v>
      </c>
      <c r="J1471" s="655">
        <v>22</v>
      </c>
      <c r="K1471" s="655">
        <v>1</v>
      </c>
      <c r="L1471" s="656" t="s">
        <v>34</v>
      </c>
      <c r="M1471" s="656" t="s">
        <v>1255</v>
      </c>
      <c r="N1471" s="656" t="s">
        <v>39</v>
      </c>
      <c r="O1471" s="656" t="s">
        <v>39</v>
      </c>
      <c r="P1471" s="656" t="s">
        <v>1037</v>
      </c>
      <c r="Q1471" s="657">
        <v>152605</v>
      </c>
      <c r="R1471" s="657">
        <v>152605</v>
      </c>
      <c r="S1471" s="657">
        <v>157794</v>
      </c>
      <c r="T1471" s="657">
        <v>157794</v>
      </c>
      <c r="U1471" s="657">
        <v>17684</v>
      </c>
      <c r="V1471" s="655">
        <v>2021</v>
      </c>
      <c r="W1471" s="659"/>
      <c r="X1471" s="660">
        <f t="shared" si="68"/>
        <v>8.922981225966975</v>
      </c>
      <c r="Y1471" s="661" t="str">
        <f t="shared" si="66"/>
        <v/>
      </c>
      <c r="Z1471" s="661" t="str">
        <f t="shared" si="67"/>
        <v/>
      </c>
    </row>
    <row r="1472" spans="1:26" s="128" customFormat="1" ht="25" hidden="1">
      <c r="A1472" s="655">
        <v>60045</v>
      </c>
      <c r="B1472" s="656" t="s">
        <v>33</v>
      </c>
      <c r="C1472" s="655" t="s">
        <v>2793</v>
      </c>
      <c r="D1472" s="656" t="s">
        <v>2335</v>
      </c>
      <c r="E1472" s="656" t="s">
        <v>3135</v>
      </c>
      <c r="F1472" s="655">
        <v>59779</v>
      </c>
      <c r="G1472" s="656" t="s">
        <v>57</v>
      </c>
      <c r="H1472" s="656" t="s">
        <v>1182</v>
      </c>
      <c r="I1472" s="656" t="s">
        <v>58</v>
      </c>
      <c r="J1472" s="655">
        <v>22</v>
      </c>
      <c r="K1472" s="655">
        <v>2</v>
      </c>
      <c r="L1472" s="656" t="s">
        <v>52</v>
      </c>
      <c r="M1472" s="656" t="s">
        <v>448</v>
      </c>
      <c r="N1472" s="656" t="s">
        <v>449</v>
      </c>
      <c r="O1472" s="656" t="s">
        <v>449</v>
      </c>
      <c r="P1472" s="656" t="s">
        <v>1176</v>
      </c>
      <c r="Q1472" s="657">
        <v>0</v>
      </c>
      <c r="R1472" s="657">
        <v>0</v>
      </c>
      <c r="S1472" s="657">
        <v>446181</v>
      </c>
      <c r="T1472" s="657">
        <v>446181</v>
      </c>
      <c r="U1472" s="657">
        <v>50456</v>
      </c>
      <c r="V1472" s="655">
        <v>2021</v>
      </c>
      <c r="W1472" s="659"/>
      <c r="X1472" s="660">
        <f t="shared" si="68"/>
        <v>8.842972094498176</v>
      </c>
      <c r="Y1472" s="661" t="str">
        <f t="shared" si="66"/>
        <v/>
      </c>
      <c r="Z1472" s="661" t="str">
        <f t="shared" si="67"/>
        <v/>
      </c>
    </row>
    <row r="1473" spans="1:26" s="128" customFormat="1" hidden="1">
      <c r="A1473" s="655">
        <v>60054</v>
      </c>
      <c r="B1473" s="656" t="s">
        <v>33</v>
      </c>
      <c r="C1473" s="655" t="s">
        <v>2793</v>
      </c>
      <c r="D1473" s="656" t="s">
        <v>1874</v>
      </c>
      <c r="E1473" s="656" t="s">
        <v>1873</v>
      </c>
      <c r="F1473" s="655">
        <v>19497</v>
      </c>
      <c r="G1473" s="656" t="s">
        <v>41</v>
      </c>
      <c r="H1473" s="656" t="s">
        <v>1183</v>
      </c>
      <c r="I1473" s="656" t="s">
        <v>58</v>
      </c>
      <c r="J1473" s="655">
        <v>22</v>
      </c>
      <c r="K1473" s="655">
        <v>1</v>
      </c>
      <c r="L1473" s="656" t="s">
        <v>34</v>
      </c>
      <c r="M1473" s="656" t="s">
        <v>1255</v>
      </c>
      <c r="N1473" s="656" t="s">
        <v>39</v>
      </c>
      <c r="O1473" s="656" t="s">
        <v>39</v>
      </c>
      <c r="P1473" s="656" t="s">
        <v>1037</v>
      </c>
      <c r="Q1473" s="657">
        <v>158466</v>
      </c>
      <c r="R1473" s="657">
        <v>158466</v>
      </c>
      <c r="S1473" s="657">
        <v>163852</v>
      </c>
      <c r="T1473" s="657">
        <v>163852</v>
      </c>
      <c r="U1473" s="657">
        <v>21615.73</v>
      </c>
      <c r="V1473" s="655">
        <v>2021</v>
      </c>
      <c r="W1473" s="659"/>
      <c r="X1473" s="660">
        <f t="shared" si="68"/>
        <v>7.5802205153376736</v>
      </c>
      <c r="Y1473" s="661" t="str">
        <f t="shared" si="66"/>
        <v/>
      </c>
      <c r="Z1473" s="661" t="str">
        <f t="shared" si="67"/>
        <v/>
      </c>
    </row>
    <row r="1474" spans="1:26" s="128" customFormat="1" hidden="1">
      <c r="A1474" s="655">
        <v>60054</v>
      </c>
      <c r="B1474" s="656" t="s">
        <v>33</v>
      </c>
      <c r="C1474" s="655" t="s">
        <v>2793</v>
      </c>
      <c r="D1474" s="656" t="s">
        <v>1874</v>
      </c>
      <c r="E1474" s="656" t="s">
        <v>1873</v>
      </c>
      <c r="F1474" s="655">
        <v>19497</v>
      </c>
      <c r="G1474" s="656" t="s">
        <v>41</v>
      </c>
      <c r="H1474" s="656" t="s">
        <v>1183</v>
      </c>
      <c r="I1474" s="656" t="s">
        <v>58</v>
      </c>
      <c r="J1474" s="655">
        <v>22</v>
      </c>
      <c r="K1474" s="655">
        <v>1</v>
      </c>
      <c r="L1474" s="656" t="s">
        <v>34</v>
      </c>
      <c r="M1474" s="656" t="s">
        <v>448</v>
      </c>
      <c r="N1474" s="656" t="s">
        <v>449</v>
      </c>
      <c r="O1474" s="656" t="s">
        <v>449</v>
      </c>
      <c r="P1474" s="656" t="s">
        <v>1176</v>
      </c>
      <c r="Q1474" s="657">
        <v>0</v>
      </c>
      <c r="R1474" s="657">
        <v>0</v>
      </c>
      <c r="S1474" s="657">
        <v>21250</v>
      </c>
      <c r="T1474" s="657">
        <v>21250</v>
      </c>
      <c r="U1474" s="657">
        <v>2403</v>
      </c>
      <c r="V1474" s="655">
        <v>2021</v>
      </c>
      <c r="W1474" s="659"/>
      <c r="X1474" s="660">
        <f t="shared" si="68"/>
        <v>8.8431127756970458</v>
      </c>
      <c r="Y1474" s="661" t="str">
        <f t="shared" si="66"/>
        <v/>
      </c>
      <c r="Z1474" s="661" t="str">
        <f t="shared" si="67"/>
        <v/>
      </c>
    </row>
    <row r="1475" spans="1:26" s="128" customFormat="1">
      <c r="A1475" s="655">
        <v>60056</v>
      </c>
      <c r="B1475" s="656" t="s">
        <v>33</v>
      </c>
      <c r="C1475" s="655" t="s">
        <v>2793</v>
      </c>
      <c r="D1475" s="656" t="s">
        <v>1875</v>
      </c>
      <c r="E1475" s="656" t="s">
        <v>1875</v>
      </c>
      <c r="F1475" s="655">
        <v>59785</v>
      </c>
      <c r="G1475" s="656" t="s">
        <v>81</v>
      </c>
      <c r="H1475" s="656" t="s">
        <v>1183</v>
      </c>
      <c r="I1475" s="656" t="s">
        <v>58</v>
      </c>
      <c r="J1475" s="655">
        <v>22</v>
      </c>
      <c r="K1475" s="655">
        <v>2</v>
      </c>
      <c r="L1475" s="656" t="s">
        <v>52</v>
      </c>
      <c r="M1475" s="656" t="s">
        <v>448</v>
      </c>
      <c r="N1475" s="656" t="s">
        <v>449</v>
      </c>
      <c r="O1475" s="656" t="s">
        <v>449</v>
      </c>
      <c r="P1475" s="656" t="s">
        <v>1176</v>
      </c>
      <c r="Q1475" s="657">
        <v>0</v>
      </c>
      <c r="R1475" s="657">
        <v>0</v>
      </c>
      <c r="S1475" s="657">
        <v>66226</v>
      </c>
      <c r="T1475" s="657">
        <v>66226</v>
      </c>
      <c r="U1475" s="657">
        <v>7489</v>
      </c>
      <c r="V1475" s="655">
        <v>2021</v>
      </c>
      <c r="W1475" s="659"/>
      <c r="X1475" s="660">
        <f t="shared" si="68"/>
        <v>8.8431032180531446</v>
      </c>
      <c r="Y1475" s="661" t="str">
        <f t="shared" si="66"/>
        <v/>
      </c>
      <c r="Z1475" s="661" t="str">
        <f t="shared" si="67"/>
        <v/>
      </c>
    </row>
    <row r="1476" spans="1:26" s="128" customFormat="1" ht="25">
      <c r="A1476" s="655">
        <v>60065</v>
      </c>
      <c r="B1476" s="656" t="s">
        <v>33</v>
      </c>
      <c r="C1476" s="655" t="s">
        <v>2793</v>
      </c>
      <c r="D1476" s="656" t="s">
        <v>2336</v>
      </c>
      <c r="E1476" s="656" t="s">
        <v>1876</v>
      </c>
      <c r="F1476" s="655">
        <v>59804</v>
      </c>
      <c r="G1476" s="656" t="s">
        <v>81</v>
      </c>
      <c r="H1476" s="656" t="s">
        <v>1183</v>
      </c>
      <c r="I1476" s="656" t="s">
        <v>58</v>
      </c>
      <c r="J1476" s="655">
        <v>22</v>
      </c>
      <c r="K1476" s="655">
        <v>2</v>
      </c>
      <c r="L1476" s="656" t="s">
        <v>52</v>
      </c>
      <c r="M1476" s="656" t="s">
        <v>448</v>
      </c>
      <c r="N1476" s="656" t="s">
        <v>449</v>
      </c>
      <c r="O1476" s="656" t="s">
        <v>449</v>
      </c>
      <c r="P1476" s="656" t="s">
        <v>1176</v>
      </c>
      <c r="Q1476" s="657">
        <v>0</v>
      </c>
      <c r="R1476" s="657">
        <v>0</v>
      </c>
      <c r="S1476" s="657">
        <v>63918</v>
      </c>
      <c r="T1476" s="657">
        <v>63918</v>
      </c>
      <c r="U1476" s="657">
        <v>7228</v>
      </c>
      <c r="V1476" s="655">
        <v>2021</v>
      </c>
      <c r="W1476" s="659"/>
      <c r="X1476" s="660">
        <f t="shared" si="68"/>
        <v>8.8431101272827899</v>
      </c>
      <c r="Y1476" s="661" t="str">
        <f t="shared" si="66"/>
        <v/>
      </c>
      <c r="Z1476" s="661" t="str">
        <f t="shared" si="67"/>
        <v/>
      </c>
    </row>
    <row r="1477" spans="1:26" s="128" customFormat="1" ht="25">
      <c r="A1477" s="655">
        <v>60067</v>
      </c>
      <c r="B1477" s="656" t="s">
        <v>33</v>
      </c>
      <c r="C1477" s="655" t="s">
        <v>2793</v>
      </c>
      <c r="D1477" s="656" t="s">
        <v>2337</v>
      </c>
      <c r="E1477" s="656" t="s">
        <v>1877</v>
      </c>
      <c r="F1477" s="655">
        <v>59805</v>
      </c>
      <c r="G1477" s="656" t="s">
        <v>81</v>
      </c>
      <c r="H1477" s="656" t="s">
        <v>1183</v>
      </c>
      <c r="I1477" s="656" t="s">
        <v>58</v>
      </c>
      <c r="J1477" s="655">
        <v>22</v>
      </c>
      <c r="K1477" s="655">
        <v>2</v>
      </c>
      <c r="L1477" s="656" t="s">
        <v>52</v>
      </c>
      <c r="M1477" s="656" t="s">
        <v>448</v>
      </c>
      <c r="N1477" s="656" t="s">
        <v>449</v>
      </c>
      <c r="O1477" s="656" t="s">
        <v>449</v>
      </c>
      <c r="P1477" s="656" t="s">
        <v>1176</v>
      </c>
      <c r="Q1477" s="657">
        <v>0</v>
      </c>
      <c r="R1477" s="657">
        <v>0</v>
      </c>
      <c r="S1477" s="657">
        <v>19816</v>
      </c>
      <c r="T1477" s="657">
        <v>19816</v>
      </c>
      <c r="U1477" s="657">
        <v>2241</v>
      </c>
      <c r="V1477" s="655">
        <v>2021</v>
      </c>
      <c r="W1477" s="659"/>
      <c r="X1477" s="660">
        <f t="shared" si="68"/>
        <v>8.8424810352521188</v>
      </c>
      <c r="Y1477" s="661" t="str">
        <f t="shared" si="66"/>
        <v/>
      </c>
      <c r="Z1477" s="661" t="str">
        <f t="shared" si="67"/>
        <v/>
      </c>
    </row>
    <row r="1478" spans="1:26" s="128" customFormat="1" ht="25">
      <c r="A1478" s="655">
        <v>60073</v>
      </c>
      <c r="B1478" s="656" t="s">
        <v>33</v>
      </c>
      <c r="C1478" s="655" t="s">
        <v>2793</v>
      </c>
      <c r="D1478" s="656" t="s">
        <v>1878</v>
      </c>
      <c r="E1478" s="656" t="s">
        <v>1879</v>
      </c>
      <c r="F1478" s="655">
        <v>59822</v>
      </c>
      <c r="G1478" s="656" t="s">
        <v>81</v>
      </c>
      <c r="H1478" s="656" t="s">
        <v>1183</v>
      </c>
      <c r="I1478" s="656" t="s">
        <v>58</v>
      </c>
      <c r="J1478" s="655">
        <v>22</v>
      </c>
      <c r="K1478" s="655">
        <v>2</v>
      </c>
      <c r="L1478" s="656" t="s">
        <v>52</v>
      </c>
      <c r="M1478" s="656" t="s">
        <v>448</v>
      </c>
      <c r="N1478" s="656" t="s">
        <v>449</v>
      </c>
      <c r="O1478" s="656" t="s">
        <v>449</v>
      </c>
      <c r="P1478" s="656" t="s">
        <v>1176</v>
      </c>
      <c r="Q1478" s="657">
        <v>0</v>
      </c>
      <c r="R1478" s="657">
        <v>0</v>
      </c>
      <c r="S1478" s="657">
        <v>27069</v>
      </c>
      <c r="T1478" s="657">
        <v>27069</v>
      </c>
      <c r="U1478" s="657">
        <v>3061</v>
      </c>
      <c r="V1478" s="655">
        <v>2021</v>
      </c>
      <c r="W1478" s="659"/>
      <c r="X1478" s="660">
        <f t="shared" si="68"/>
        <v>8.8431885004900366</v>
      </c>
      <c r="Y1478" s="661" t="str">
        <f t="shared" si="66"/>
        <v/>
      </c>
      <c r="Z1478" s="661" t="str">
        <f t="shared" si="67"/>
        <v/>
      </c>
    </row>
    <row r="1479" spans="1:26" s="128" customFormat="1" ht="25">
      <c r="A1479" s="655">
        <v>60074</v>
      </c>
      <c r="B1479" s="656" t="s">
        <v>33</v>
      </c>
      <c r="C1479" s="655" t="s">
        <v>2793</v>
      </c>
      <c r="D1479" s="656" t="s">
        <v>1880</v>
      </c>
      <c r="E1479" s="656" t="s">
        <v>1881</v>
      </c>
      <c r="F1479" s="655">
        <v>59823</v>
      </c>
      <c r="G1479" s="656" t="s">
        <v>81</v>
      </c>
      <c r="H1479" s="656" t="s">
        <v>1183</v>
      </c>
      <c r="I1479" s="656" t="s">
        <v>58</v>
      </c>
      <c r="J1479" s="655">
        <v>22</v>
      </c>
      <c r="K1479" s="655">
        <v>2</v>
      </c>
      <c r="L1479" s="656" t="s">
        <v>52</v>
      </c>
      <c r="M1479" s="656" t="s">
        <v>448</v>
      </c>
      <c r="N1479" s="656" t="s">
        <v>449</v>
      </c>
      <c r="O1479" s="656" t="s">
        <v>449</v>
      </c>
      <c r="P1479" s="656" t="s">
        <v>1176</v>
      </c>
      <c r="Q1479" s="657">
        <v>0</v>
      </c>
      <c r="R1479" s="657">
        <v>0</v>
      </c>
      <c r="S1479" s="657">
        <v>29837</v>
      </c>
      <c r="T1479" s="657">
        <v>29837</v>
      </c>
      <c r="U1479" s="657">
        <v>3374</v>
      </c>
      <c r="V1479" s="655">
        <v>2021</v>
      </c>
      <c r="W1479" s="659"/>
      <c r="X1479" s="660">
        <f t="shared" si="68"/>
        <v>8.8432128037937172</v>
      </c>
      <c r="Y1479" s="661" t="str">
        <f t="shared" ref="Y1479:Y1542" si="69">IF(AND($M1479=$Y$2,$N1479=$Y$3,NOT($Q1479=$R1479),NOT($U1479=0)),IF($K1479=5,$S1479/($U1479+(8/5)*$U1479),IF($K1479=7,$S1479/($U1479+(29/25)*$U1479),"")),"")</f>
        <v/>
      </c>
      <c r="Z1479" s="661" t="str">
        <f t="shared" ref="Z1479:Z1542" si="70">IF(AND($M1479=$Y$2,$N1479=$Y$4,NOT($Q1479=$R1479),NOT($U1479=0)),IF($K1479=5,$S1479/($U1479+(8/5)*$U1479),IF($K1479=7,$S1479/($U1479+(29/25)*$U1479),"")),"")</f>
        <v/>
      </c>
    </row>
    <row r="1480" spans="1:26" s="128" customFormat="1">
      <c r="A1480" s="655">
        <v>60075</v>
      </c>
      <c r="B1480" s="656" t="s">
        <v>33</v>
      </c>
      <c r="C1480" s="655" t="s">
        <v>2793</v>
      </c>
      <c r="D1480" s="656" t="s">
        <v>1882</v>
      </c>
      <c r="E1480" s="656" t="s">
        <v>1883</v>
      </c>
      <c r="F1480" s="655">
        <v>59824</v>
      </c>
      <c r="G1480" s="656" t="s">
        <v>81</v>
      </c>
      <c r="H1480" s="656" t="s">
        <v>1183</v>
      </c>
      <c r="I1480" s="656" t="s">
        <v>58</v>
      </c>
      <c r="J1480" s="655">
        <v>22</v>
      </c>
      <c r="K1480" s="655">
        <v>2</v>
      </c>
      <c r="L1480" s="656" t="s">
        <v>52</v>
      </c>
      <c r="M1480" s="656" t="s">
        <v>448</v>
      </c>
      <c r="N1480" s="656" t="s">
        <v>449</v>
      </c>
      <c r="O1480" s="656" t="s">
        <v>449</v>
      </c>
      <c r="P1480" s="656" t="s">
        <v>1176</v>
      </c>
      <c r="Q1480" s="657">
        <v>0</v>
      </c>
      <c r="R1480" s="657">
        <v>0</v>
      </c>
      <c r="S1480" s="657">
        <v>69399</v>
      </c>
      <c r="T1480" s="657">
        <v>69399</v>
      </c>
      <c r="U1480" s="657">
        <v>7848</v>
      </c>
      <c r="V1480" s="655">
        <v>2021</v>
      </c>
      <c r="W1480" s="659"/>
      <c r="X1480" s="660">
        <f t="shared" ref="X1480:X1543" si="71">IF(OR(K1480&gt;3,T1480=0,NOT(U1480&gt;0)),"",T1480/U1480)</f>
        <v>8.8428899082568808</v>
      </c>
      <c r="Y1480" s="661" t="str">
        <f t="shared" si="69"/>
        <v/>
      </c>
      <c r="Z1480" s="661" t="str">
        <f t="shared" si="70"/>
        <v/>
      </c>
    </row>
    <row r="1481" spans="1:26" s="128" customFormat="1">
      <c r="A1481" s="655">
        <v>60076</v>
      </c>
      <c r="B1481" s="656" t="s">
        <v>33</v>
      </c>
      <c r="C1481" s="655" t="s">
        <v>2793</v>
      </c>
      <c r="D1481" s="656" t="s">
        <v>1948</v>
      </c>
      <c r="E1481" s="656" t="s">
        <v>1949</v>
      </c>
      <c r="F1481" s="655">
        <v>59826</v>
      </c>
      <c r="G1481" s="656" t="s">
        <v>81</v>
      </c>
      <c r="H1481" s="656" t="s">
        <v>1183</v>
      </c>
      <c r="I1481" s="656" t="s">
        <v>58</v>
      </c>
      <c r="J1481" s="655">
        <v>22</v>
      </c>
      <c r="K1481" s="655">
        <v>2</v>
      </c>
      <c r="L1481" s="656" t="s">
        <v>52</v>
      </c>
      <c r="M1481" s="656" t="s">
        <v>448</v>
      </c>
      <c r="N1481" s="656" t="s">
        <v>449</v>
      </c>
      <c r="O1481" s="656" t="s">
        <v>449</v>
      </c>
      <c r="P1481" s="656" t="s">
        <v>1176</v>
      </c>
      <c r="Q1481" s="657">
        <v>0</v>
      </c>
      <c r="R1481" s="657">
        <v>0</v>
      </c>
      <c r="S1481" s="657">
        <v>54020</v>
      </c>
      <c r="T1481" s="657">
        <v>54020</v>
      </c>
      <c r="U1481" s="657">
        <v>6109</v>
      </c>
      <c r="V1481" s="655">
        <v>2021</v>
      </c>
      <c r="W1481" s="659"/>
      <c r="X1481" s="660">
        <f t="shared" si="71"/>
        <v>8.8426911114748723</v>
      </c>
      <c r="Y1481" s="661" t="str">
        <f t="shared" si="69"/>
        <v/>
      </c>
      <c r="Z1481" s="661" t="str">
        <f t="shared" si="70"/>
        <v/>
      </c>
    </row>
    <row r="1482" spans="1:26" s="128" customFormat="1" ht="25" hidden="1">
      <c r="A1482" s="655">
        <v>60097</v>
      </c>
      <c r="B1482" s="656" t="s">
        <v>33</v>
      </c>
      <c r="C1482" s="655" t="s">
        <v>2793</v>
      </c>
      <c r="D1482" s="656" t="s">
        <v>1950</v>
      </c>
      <c r="E1482" s="656" t="s">
        <v>1922</v>
      </c>
      <c r="F1482" s="655">
        <v>60947</v>
      </c>
      <c r="G1482" s="656" t="s">
        <v>57</v>
      </c>
      <c r="H1482" s="656" t="s">
        <v>1182</v>
      </c>
      <c r="I1482" s="656" t="s">
        <v>58</v>
      </c>
      <c r="J1482" s="655">
        <v>22</v>
      </c>
      <c r="K1482" s="655">
        <v>2</v>
      </c>
      <c r="L1482" s="656" t="s">
        <v>52</v>
      </c>
      <c r="M1482" s="656" t="s">
        <v>448</v>
      </c>
      <c r="N1482" s="656" t="s">
        <v>449</v>
      </c>
      <c r="O1482" s="656" t="s">
        <v>449</v>
      </c>
      <c r="P1482" s="656" t="s">
        <v>1176</v>
      </c>
      <c r="Q1482" s="657">
        <v>0</v>
      </c>
      <c r="R1482" s="657">
        <v>0</v>
      </c>
      <c r="S1482" s="657">
        <v>10824</v>
      </c>
      <c r="T1482" s="657">
        <v>10824</v>
      </c>
      <c r="U1482" s="657">
        <v>1224</v>
      </c>
      <c r="V1482" s="655">
        <v>2021</v>
      </c>
      <c r="W1482" s="659"/>
      <c r="X1482" s="660">
        <f t="shared" si="71"/>
        <v>8.8431372549019613</v>
      </c>
      <c r="Y1482" s="661" t="str">
        <f t="shared" si="69"/>
        <v/>
      </c>
      <c r="Z1482" s="661" t="str">
        <f t="shared" si="70"/>
        <v/>
      </c>
    </row>
    <row r="1483" spans="1:26" s="128" customFormat="1" ht="25" hidden="1">
      <c r="A1483" s="655">
        <v>60098</v>
      </c>
      <c r="B1483" s="656" t="s">
        <v>33</v>
      </c>
      <c r="C1483" s="655" t="s">
        <v>2793</v>
      </c>
      <c r="D1483" s="656" t="s">
        <v>1951</v>
      </c>
      <c r="E1483" s="656" t="s">
        <v>1922</v>
      </c>
      <c r="F1483" s="655">
        <v>60947</v>
      </c>
      <c r="G1483" s="656" t="s">
        <v>57</v>
      </c>
      <c r="H1483" s="656" t="s">
        <v>1182</v>
      </c>
      <c r="I1483" s="656" t="s">
        <v>58</v>
      </c>
      <c r="J1483" s="655">
        <v>22</v>
      </c>
      <c r="K1483" s="655">
        <v>2</v>
      </c>
      <c r="L1483" s="656" t="s">
        <v>52</v>
      </c>
      <c r="M1483" s="656" t="s">
        <v>448</v>
      </c>
      <c r="N1483" s="656" t="s">
        <v>449</v>
      </c>
      <c r="O1483" s="656" t="s">
        <v>449</v>
      </c>
      <c r="P1483" s="656" t="s">
        <v>1176</v>
      </c>
      <c r="Q1483" s="657">
        <v>0</v>
      </c>
      <c r="R1483" s="657">
        <v>0</v>
      </c>
      <c r="S1483" s="657">
        <v>17561</v>
      </c>
      <c r="T1483" s="657">
        <v>17561</v>
      </c>
      <c r="U1483" s="657">
        <v>1986</v>
      </c>
      <c r="V1483" s="655">
        <v>2021</v>
      </c>
      <c r="W1483" s="659"/>
      <c r="X1483" s="660">
        <f t="shared" si="71"/>
        <v>8.8423967774420955</v>
      </c>
      <c r="Y1483" s="661" t="str">
        <f t="shared" si="69"/>
        <v/>
      </c>
      <c r="Z1483" s="661" t="str">
        <f t="shared" si="70"/>
        <v/>
      </c>
    </row>
    <row r="1484" spans="1:26" s="128" customFormat="1" ht="25">
      <c r="A1484" s="655">
        <v>60099</v>
      </c>
      <c r="B1484" s="656" t="s">
        <v>33</v>
      </c>
      <c r="C1484" s="655" t="s">
        <v>2793</v>
      </c>
      <c r="D1484" s="656" t="s">
        <v>1952</v>
      </c>
      <c r="E1484" s="656" t="s">
        <v>1922</v>
      </c>
      <c r="F1484" s="655">
        <v>60947</v>
      </c>
      <c r="G1484" s="656" t="s">
        <v>81</v>
      </c>
      <c r="H1484" s="656" t="s">
        <v>1183</v>
      </c>
      <c r="I1484" s="656" t="s">
        <v>58</v>
      </c>
      <c r="J1484" s="655">
        <v>22</v>
      </c>
      <c r="K1484" s="655">
        <v>2</v>
      </c>
      <c r="L1484" s="656" t="s">
        <v>52</v>
      </c>
      <c r="M1484" s="656" t="s">
        <v>448</v>
      </c>
      <c r="N1484" s="656" t="s">
        <v>449</v>
      </c>
      <c r="O1484" s="656" t="s">
        <v>449</v>
      </c>
      <c r="P1484" s="656" t="s">
        <v>1176</v>
      </c>
      <c r="Q1484" s="657">
        <v>0</v>
      </c>
      <c r="R1484" s="657">
        <v>0</v>
      </c>
      <c r="S1484" s="657">
        <v>20869</v>
      </c>
      <c r="T1484" s="657">
        <v>20869</v>
      </c>
      <c r="U1484" s="657">
        <v>2360</v>
      </c>
      <c r="V1484" s="655">
        <v>2021</v>
      </c>
      <c r="W1484" s="659"/>
      <c r="X1484" s="660">
        <f t="shared" si="71"/>
        <v>8.8427966101694917</v>
      </c>
      <c r="Y1484" s="661" t="str">
        <f t="shared" si="69"/>
        <v/>
      </c>
      <c r="Z1484" s="661" t="str">
        <f t="shared" si="70"/>
        <v/>
      </c>
    </row>
    <row r="1485" spans="1:26" s="128" customFormat="1" ht="25" hidden="1">
      <c r="A1485" s="655">
        <v>60109</v>
      </c>
      <c r="B1485" s="656" t="s">
        <v>33</v>
      </c>
      <c r="C1485" s="655" t="s">
        <v>2793</v>
      </c>
      <c r="D1485" s="656" t="s">
        <v>1953</v>
      </c>
      <c r="E1485" s="656" t="s">
        <v>1954</v>
      </c>
      <c r="F1485" s="655">
        <v>59885</v>
      </c>
      <c r="G1485" s="656" t="s">
        <v>41</v>
      </c>
      <c r="H1485" s="656" t="s">
        <v>1183</v>
      </c>
      <c r="I1485" s="656" t="s">
        <v>58</v>
      </c>
      <c r="J1485" s="655">
        <v>22</v>
      </c>
      <c r="K1485" s="655">
        <v>2</v>
      </c>
      <c r="L1485" s="656" t="s">
        <v>52</v>
      </c>
      <c r="M1485" s="656" t="s">
        <v>1255</v>
      </c>
      <c r="N1485" s="656" t="s">
        <v>39</v>
      </c>
      <c r="O1485" s="656" t="s">
        <v>39</v>
      </c>
      <c r="P1485" s="656" t="s">
        <v>1037</v>
      </c>
      <c r="Q1485" s="657">
        <v>170921</v>
      </c>
      <c r="R1485" s="657">
        <v>170921</v>
      </c>
      <c r="S1485" s="657">
        <v>176732</v>
      </c>
      <c r="T1485" s="657">
        <v>176732</v>
      </c>
      <c r="U1485" s="657">
        <v>24028</v>
      </c>
      <c r="V1485" s="655">
        <v>2021</v>
      </c>
      <c r="W1485" s="659"/>
      <c r="X1485" s="660">
        <f t="shared" si="71"/>
        <v>7.355252205759947</v>
      </c>
      <c r="Y1485" s="661" t="str">
        <f t="shared" si="69"/>
        <v/>
      </c>
      <c r="Z1485" s="661" t="str">
        <f t="shared" si="70"/>
        <v/>
      </c>
    </row>
    <row r="1486" spans="1:26" s="128" customFormat="1" ht="25">
      <c r="A1486" s="655">
        <v>60110</v>
      </c>
      <c r="B1486" s="656" t="s">
        <v>33</v>
      </c>
      <c r="C1486" s="655" t="s">
        <v>2793</v>
      </c>
      <c r="D1486" s="656" t="s">
        <v>2338</v>
      </c>
      <c r="E1486" s="656" t="s">
        <v>1922</v>
      </c>
      <c r="F1486" s="655">
        <v>60947</v>
      </c>
      <c r="G1486" s="656" t="s">
        <v>81</v>
      </c>
      <c r="H1486" s="656" t="s">
        <v>1183</v>
      </c>
      <c r="I1486" s="656" t="s">
        <v>58</v>
      </c>
      <c r="J1486" s="655">
        <v>22</v>
      </c>
      <c r="K1486" s="655">
        <v>2</v>
      </c>
      <c r="L1486" s="656" t="s">
        <v>52</v>
      </c>
      <c r="M1486" s="656" t="s">
        <v>448</v>
      </c>
      <c r="N1486" s="656" t="s">
        <v>449</v>
      </c>
      <c r="O1486" s="656" t="s">
        <v>449</v>
      </c>
      <c r="P1486" s="656" t="s">
        <v>1176</v>
      </c>
      <c r="Q1486" s="657">
        <v>0</v>
      </c>
      <c r="R1486" s="657">
        <v>0</v>
      </c>
      <c r="S1486" s="657">
        <v>35310</v>
      </c>
      <c r="T1486" s="657">
        <v>35310</v>
      </c>
      <c r="U1486" s="657">
        <v>3993</v>
      </c>
      <c r="V1486" s="655">
        <v>2021</v>
      </c>
      <c r="W1486" s="659"/>
      <c r="X1486" s="660">
        <f t="shared" si="71"/>
        <v>8.8429752066115697</v>
      </c>
      <c r="Y1486" s="661" t="str">
        <f t="shared" si="69"/>
        <v/>
      </c>
      <c r="Z1486" s="661" t="str">
        <f t="shared" si="70"/>
        <v/>
      </c>
    </row>
    <row r="1487" spans="1:26" s="128" customFormat="1" ht="25">
      <c r="A1487" s="655">
        <v>60111</v>
      </c>
      <c r="B1487" s="656" t="s">
        <v>33</v>
      </c>
      <c r="C1487" s="655" t="s">
        <v>2793</v>
      </c>
      <c r="D1487" s="656" t="s">
        <v>2339</v>
      </c>
      <c r="E1487" s="656" t="s">
        <v>1922</v>
      </c>
      <c r="F1487" s="655">
        <v>60947</v>
      </c>
      <c r="G1487" s="656" t="s">
        <v>81</v>
      </c>
      <c r="H1487" s="656" t="s">
        <v>1183</v>
      </c>
      <c r="I1487" s="656" t="s">
        <v>58</v>
      </c>
      <c r="J1487" s="655">
        <v>22</v>
      </c>
      <c r="K1487" s="655">
        <v>2</v>
      </c>
      <c r="L1487" s="656" t="s">
        <v>52</v>
      </c>
      <c r="M1487" s="656" t="s">
        <v>448</v>
      </c>
      <c r="N1487" s="656" t="s">
        <v>449</v>
      </c>
      <c r="O1487" s="656" t="s">
        <v>449</v>
      </c>
      <c r="P1487" s="656" t="s">
        <v>1176</v>
      </c>
      <c r="Q1487" s="657">
        <v>0</v>
      </c>
      <c r="R1487" s="657">
        <v>0</v>
      </c>
      <c r="S1487" s="657">
        <v>27200</v>
      </c>
      <c r="T1487" s="657">
        <v>27200</v>
      </c>
      <c r="U1487" s="657">
        <v>3076</v>
      </c>
      <c r="V1487" s="655">
        <v>2021</v>
      </c>
      <c r="W1487" s="659"/>
      <c r="X1487" s="660">
        <f t="shared" si="71"/>
        <v>8.8426527958387524</v>
      </c>
      <c r="Y1487" s="661" t="str">
        <f t="shared" si="69"/>
        <v/>
      </c>
      <c r="Z1487" s="661" t="str">
        <f t="shared" si="70"/>
        <v/>
      </c>
    </row>
    <row r="1488" spans="1:26" s="128" customFormat="1" hidden="1">
      <c r="A1488" s="655">
        <v>60114</v>
      </c>
      <c r="B1488" s="656" t="s">
        <v>33</v>
      </c>
      <c r="C1488" s="655" t="s">
        <v>2793</v>
      </c>
      <c r="D1488" s="656" t="s">
        <v>1955</v>
      </c>
      <c r="E1488" s="656" t="s">
        <v>1922</v>
      </c>
      <c r="F1488" s="655">
        <v>60947</v>
      </c>
      <c r="G1488" s="656" t="s">
        <v>57</v>
      </c>
      <c r="H1488" s="656" t="s">
        <v>1182</v>
      </c>
      <c r="I1488" s="656" t="s">
        <v>58</v>
      </c>
      <c r="J1488" s="655">
        <v>22</v>
      </c>
      <c r="K1488" s="655">
        <v>2</v>
      </c>
      <c r="L1488" s="656" t="s">
        <v>52</v>
      </c>
      <c r="M1488" s="656" t="s">
        <v>448</v>
      </c>
      <c r="N1488" s="656" t="s">
        <v>449</v>
      </c>
      <c r="O1488" s="656" t="s">
        <v>449</v>
      </c>
      <c r="P1488" s="656" t="s">
        <v>1176</v>
      </c>
      <c r="Q1488" s="657">
        <v>0</v>
      </c>
      <c r="R1488" s="657">
        <v>0</v>
      </c>
      <c r="S1488" s="657">
        <v>16103</v>
      </c>
      <c r="T1488" s="657">
        <v>16103</v>
      </c>
      <c r="U1488" s="657">
        <v>1821</v>
      </c>
      <c r="V1488" s="655">
        <v>2021</v>
      </c>
      <c r="W1488" s="659"/>
      <c r="X1488" s="660">
        <f t="shared" si="71"/>
        <v>8.8429434376716092</v>
      </c>
      <c r="Y1488" s="661" t="str">
        <f t="shared" si="69"/>
        <v/>
      </c>
      <c r="Z1488" s="661" t="str">
        <f t="shared" si="70"/>
        <v/>
      </c>
    </row>
    <row r="1489" spans="1:26" s="128" customFormat="1" hidden="1">
      <c r="A1489" s="655">
        <v>60115</v>
      </c>
      <c r="B1489" s="656" t="s">
        <v>33</v>
      </c>
      <c r="C1489" s="655" t="s">
        <v>2793</v>
      </c>
      <c r="D1489" s="656" t="s">
        <v>1956</v>
      </c>
      <c r="E1489" s="656" t="s">
        <v>1922</v>
      </c>
      <c r="F1489" s="655">
        <v>60947</v>
      </c>
      <c r="G1489" s="656" t="s">
        <v>57</v>
      </c>
      <c r="H1489" s="656" t="s">
        <v>1182</v>
      </c>
      <c r="I1489" s="656" t="s">
        <v>58</v>
      </c>
      <c r="J1489" s="655">
        <v>22</v>
      </c>
      <c r="K1489" s="655">
        <v>2</v>
      </c>
      <c r="L1489" s="656" t="s">
        <v>52</v>
      </c>
      <c r="M1489" s="656" t="s">
        <v>448</v>
      </c>
      <c r="N1489" s="656" t="s">
        <v>449</v>
      </c>
      <c r="O1489" s="656" t="s">
        <v>449</v>
      </c>
      <c r="P1489" s="656" t="s">
        <v>1176</v>
      </c>
      <c r="Q1489" s="657">
        <v>0</v>
      </c>
      <c r="R1489" s="657">
        <v>0</v>
      </c>
      <c r="S1489" s="657">
        <v>13361</v>
      </c>
      <c r="T1489" s="657">
        <v>13361</v>
      </c>
      <c r="U1489" s="657">
        <v>1511</v>
      </c>
      <c r="V1489" s="655">
        <v>2021</v>
      </c>
      <c r="W1489" s="659"/>
      <c r="X1489" s="660">
        <f t="shared" si="71"/>
        <v>8.8424884182660488</v>
      </c>
      <c r="Y1489" s="661" t="str">
        <f t="shared" si="69"/>
        <v/>
      </c>
      <c r="Z1489" s="661" t="str">
        <f t="shared" si="70"/>
        <v/>
      </c>
    </row>
    <row r="1490" spans="1:26" s="128" customFormat="1" ht="25">
      <c r="A1490" s="655">
        <v>60116</v>
      </c>
      <c r="B1490" s="656" t="s">
        <v>33</v>
      </c>
      <c r="C1490" s="655" t="s">
        <v>2793</v>
      </c>
      <c r="D1490" s="656" t="s">
        <v>1957</v>
      </c>
      <c r="E1490" s="656" t="s">
        <v>1922</v>
      </c>
      <c r="F1490" s="655">
        <v>60947</v>
      </c>
      <c r="G1490" s="656" t="s">
        <v>81</v>
      </c>
      <c r="H1490" s="656" t="s">
        <v>1183</v>
      </c>
      <c r="I1490" s="656" t="s">
        <v>58</v>
      </c>
      <c r="J1490" s="655">
        <v>22</v>
      </c>
      <c r="K1490" s="655">
        <v>2</v>
      </c>
      <c r="L1490" s="656" t="s">
        <v>52</v>
      </c>
      <c r="M1490" s="656" t="s">
        <v>448</v>
      </c>
      <c r="N1490" s="656" t="s">
        <v>449</v>
      </c>
      <c r="O1490" s="656" t="s">
        <v>449</v>
      </c>
      <c r="P1490" s="656" t="s">
        <v>1176</v>
      </c>
      <c r="Q1490" s="657">
        <v>0</v>
      </c>
      <c r="R1490" s="657">
        <v>0</v>
      </c>
      <c r="S1490" s="657">
        <v>8719</v>
      </c>
      <c r="T1490" s="657">
        <v>8719</v>
      </c>
      <c r="U1490" s="657">
        <v>986</v>
      </c>
      <c r="V1490" s="655">
        <v>2021</v>
      </c>
      <c r="W1490" s="659"/>
      <c r="X1490" s="660">
        <f t="shared" si="71"/>
        <v>8.8427991886409743</v>
      </c>
      <c r="Y1490" s="661" t="str">
        <f t="shared" si="69"/>
        <v/>
      </c>
      <c r="Z1490" s="661" t="str">
        <f t="shared" si="70"/>
        <v/>
      </c>
    </row>
    <row r="1491" spans="1:26" s="128" customFormat="1" hidden="1">
      <c r="A1491" s="655">
        <v>60150</v>
      </c>
      <c r="B1491" s="656" t="s">
        <v>33</v>
      </c>
      <c r="C1491" s="655" t="s">
        <v>2793</v>
      </c>
      <c r="D1491" s="656" t="s">
        <v>1884</v>
      </c>
      <c r="E1491" s="656" t="s">
        <v>1885</v>
      </c>
      <c r="F1491" s="655">
        <v>59942</v>
      </c>
      <c r="G1491" s="656" t="s">
        <v>57</v>
      </c>
      <c r="H1491" s="656" t="s">
        <v>1182</v>
      </c>
      <c r="I1491" s="656" t="s">
        <v>58</v>
      </c>
      <c r="J1491" s="655">
        <v>22</v>
      </c>
      <c r="K1491" s="655">
        <v>2</v>
      </c>
      <c r="L1491" s="656" t="s">
        <v>52</v>
      </c>
      <c r="M1491" s="656" t="s">
        <v>448</v>
      </c>
      <c r="N1491" s="656" t="s">
        <v>449</v>
      </c>
      <c r="O1491" s="656" t="s">
        <v>449</v>
      </c>
      <c r="P1491" s="656" t="s">
        <v>1176</v>
      </c>
      <c r="Q1491" s="657">
        <v>0</v>
      </c>
      <c r="R1491" s="657">
        <v>0</v>
      </c>
      <c r="S1491" s="657">
        <v>26618</v>
      </c>
      <c r="T1491" s="657">
        <v>26618</v>
      </c>
      <c r="U1491" s="657">
        <v>3010</v>
      </c>
      <c r="V1491" s="655">
        <v>2021</v>
      </c>
      <c r="W1491" s="659"/>
      <c r="X1491" s="660">
        <f t="shared" si="71"/>
        <v>8.8431893687707639</v>
      </c>
      <c r="Y1491" s="661" t="str">
        <f t="shared" si="69"/>
        <v/>
      </c>
      <c r="Z1491" s="661" t="str">
        <f t="shared" si="70"/>
        <v/>
      </c>
    </row>
    <row r="1492" spans="1:26" s="128" customFormat="1" hidden="1">
      <c r="A1492" s="655">
        <v>60225</v>
      </c>
      <c r="B1492" s="656" t="s">
        <v>33</v>
      </c>
      <c r="C1492" s="655" t="s">
        <v>2793</v>
      </c>
      <c r="D1492" s="656" t="s">
        <v>1958</v>
      </c>
      <c r="E1492" s="656" t="s">
        <v>1922</v>
      </c>
      <c r="F1492" s="655">
        <v>60947</v>
      </c>
      <c r="G1492" s="656" t="s">
        <v>41</v>
      </c>
      <c r="H1492" s="656" t="s">
        <v>1183</v>
      </c>
      <c r="I1492" s="656" t="s">
        <v>58</v>
      </c>
      <c r="J1492" s="655">
        <v>22</v>
      </c>
      <c r="K1492" s="655">
        <v>2</v>
      </c>
      <c r="L1492" s="656" t="s">
        <v>52</v>
      </c>
      <c r="M1492" s="656" t="s">
        <v>448</v>
      </c>
      <c r="N1492" s="656" t="s">
        <v>449</v>
      </c>
      <c r="O1492" s="656" t="s">
        <v>449</v>
      </c>
      <c r="P1492" s="656" t="s">
        <v>1176</v>
      </c>
      <c r="Q1492" s="657">
        <v>0</v>
      </c>
      <c r="R1492" s="657">
        <v>0</v>
      </c>
      <c r="S1492" s="657">
        <v>29314</v>
      </c>
      <c r="T1492" s="657">
        <v>29314</v>
      </c>
      <c r="U1492" s="657">
        <v>3315</v>
      </c>
      <c r="V1492" s="655">
        <v>2021</v>
      </c>
      <c r="W1492" s="659"/>
      <c r="X1492" s="660">
        <f t="shared" si="71"/>
        <v>8.8428355957767728</v>
      </c>
      <c r="Y1492" s="661" t="str">
        <f t="shared" si="69"/>
        <v/>
      </c>
      <c r="Z1492" s="661" t="str">
        <f t="shared" si="70"/>
        <v/>
      </c>
    </row>
    <row r="1493" spans="1:26" s="128" customFormat="1" ht="25" hidden="1">
      <c r="A1493" s="655">
        <v>60228</v>
      </c>
      <c r="B1493" s="656" t="s">
        <v>33</v>
      </c>
      <c r="C1493" s="655" t="s">
        <v>2793</v>
      </c>
      <c r="D1493" s="656" t="s">
        <v>1959</v>
      </c>
      <c r="E1493" s="656" t="s">
        <v>1922</v>
      </c>
      <c r="F1493" s="655">
        <v>60947</v>
      </c>
      <c r="G1493" s="656" t="s">
        <v>41</v>
      </c>
      <c r="H1493" s="656" t="s">
        <v>1183</v>
      </c>
      <c r="I1493" s="656" t="s">
        <v>58</v>
      </c>
      <c r="J1493" s="655">
        <v>22</v>
      </c>
      <c r="K1493" s="655">
        <v>2</v>
      </c>
      <c r="L1493" s="656" t="s">
        <v>52</v>
      </c>
      <c r="M1493" s="656" t="s">
        <v>448</v>
      </c>
      <c r="N1493" s="656" t="s">
        <v>449</v>
      </c>
      <c r="O1493" s="656" t="s">
        <v>449</v>
      </c>
      <c r="P1493" s="656" t="s">
        <v>1176</v>
      </c>
      <c r="Q1493" s="657">
        <v>0</v>
      </c>
      <c r="R1493" s="657">
        <v>0</v>
      </c>
      <c r="S1493" s="657">
        <v>11450</v>
      </c>
      <c r="T1493" s="657">
        <v>11450</v>
      </c>
      <c r="U1493" s="657">
        <v>1295</v>
      </c>
      <c r="V1493" s="655">
        <v>2021</v>
      </c>
      <c r="W1493" s="659"/>
      <c r="X1493" s="660">
        <f t="shared" si="71"/>
        <v>8.8416988416988413</v>
      </c>
      <c r="Y1493" s="661" t="str">
        <f t="shared" si="69"/>
        <v/>
      </c>
      <c r="Z1493" s="661" t="str">
        <f t="shared" si="70"/>
        <v/>
      </c>
    </row>
    <row r="1494" spans="1:26" s="128" customFormat="1" ht="25" hidden="1">
      <c r="A1494" s="655">
        <v>60229</v>
      </c>
      <c r="B1494" s="656" t="s">
        <v>33</v>
      </c>
      <c r="C1494" s="655" t="s">
        <v>2793</v>
      </c>
      <c r="D1494" s="656" t="s">
        <v>1960</v>
      </c>
      <c r="E1494" s="656" t="s">
        <v>1922</v>
      </c>
      <c r="F1494" s="655">
        <v>60947</v>
      </c>
      <c r="G1494" s="656" t="s">
        <v>57</v>
      </c>
      <c r="H1494" s="656" t="s">
        <v>1182</v>
      </c>
      <c r="I1494" s="656" t="s">
        <v>58</v>
      </c>
      <c r="J1494" s="655">
        <v>22</v>
      </c>
      <c r="K1494" s="655">
        <v>2</v>
      </c>
      <c r="L1494" s="656" t="s">
        <v>52</v>
      </c>
      <c r="M1494" s="656" t="s">
        <v>448</v>
      </c>
      <c r="N1494" s="656" t="s">
        <v>449</v>
      </c>
      <c r="O1494" s="656" t="s">
        <v>449</v>
      </c>
      <c r="P1494" s="656" t="s">
        <v>1176</v>
      </c>
      <c r="Q1494" s="657">
        <v>0</v>
      </c>
      <c r="R1494" s="657">
        <v>0</v>
      </c>
      <c r="S1494" s="657">
        <v>21070</v>
      </c>
      <c r="T1494" s="657">
        <v>21070</v>
      </c>
      <c r="U1494" s="657">
        <v>2383</v>
      </c>
      <c r="V1494" s="655">
        <v>2021</v>
      </c>
      <c r="W1494" s="659"/>
      <c r="X1494" s="660">
        <f t="shared" si="71"/>
        <v>8.8417960553923631</v>
      </c>
      <c r="Y1494" s="661" t="str">
        <f t="shared" si="69"/>
        <v/>
      </c>
      <c r="Z1494" s="661" t="str">
        <f t="shared" si="70"/>
        <v/>
      </c>
    </row>
    <row r="1495" spans="1:26" s="128" customFormat="1" ht="25" hidden="1">
      <c r="A1495" s="655">
        <v>60232</v>
      </c>
      <c r="B1495" s="656" t="s">
        <v>33</v>
      </c>
      <c r="C1495" s="655" t="s">
        <v>2793</v>
      </c>
      <c r="D1495" s="656" t="s">
        <v>1961</v>
      </c>
      <c r="E1495" s="656" t="s">
        <v>1922</v>
      </c>
      <c r="F1495" s="655">
        <v>60947</v>
      </c>
      <c r="G1495" s="656" t="s">
        <v>57</v>
      </c>
      <c r="H1495" s="656" t="s">
        <v>1182</v>
      </c>
      <c r="I1495" s="656" t="s">
        <v>58</v>
      </c>
      <c r="J1495" s="655">
        <v>22</v>
      </c>
      <c r="K1495" s="655">
        <v>2</v>
      </c>
      <c r="L1495" s="656" t="s">
        <v>52</v>
      </c>
      <c r="M1495" s="656" t="s">
        <v>448</v>
      </c>
      <c r="N1495" s="656" t="s">
        <v>449</v>
      </c>
      <c r="O1495" s="656" t="s">
        <v>449</v>
      </c>
      <c r="P1495" s="656" t="s">
        <v>1176</v>
      </c>
      <c r="Q1495" s="657">
        <v>0</v>
      </c>
      <c r="R1495" s="657">
        <v>0</v>
      </c>
      <c r="S1495" s="657">
        <v>23947</v>
      </c>
      <c r="T1495" s="657">
        <v>23947</v>
      </c>
      <c r="U1495" s="657">
        <v>2708</v>
      </c>
      <c r="V1495" s="655">
        <v>2021</v>
      </c>
      <c r="W1495" s="659"/>
      <c r="X1495" s="660">
        <f t="shared" si="71"/>
        <v>8.8430576070901026</v>
      </c>
      <c r="Y1495" s="661" t="str">
        <f t="shared" si="69"/>
        <v/>
      </c>
      <c r="Z1495" s="661" t="str">
        <f t="shared" si="70"/>
        <v/>
      </c>
    </row>
    <row r="1496" spans="1:26" s="128" customFormat="1" ht="25">
      <c r="A1496" s="655">
        <v>60274</v>
      </c>
      <c r="B1496" s="656" t="s">
        <v>33</v>
      </c>
      <c r="C1496" s="655" t="s">
        <v>2793</v>
      </c>
      <c r="D1496" s="656" t="s">
        <v>1962</v>
      </c>
      <c r="E1496" s="656" t="s">
        <v>1128</v>
      </c>
      <c r="F1496" s="655">
        <v>56769</v>
      </c>
      <c r="G1496" s="656" t="s">
        <v>81</v>
      </c>
      <c r="H1496" s="656" t="s">
        <v>1183</v>
      </c>
      <c r="I1496" s="656" t="s">
        <v>58</v>
      </c>
      <c r="J1496" s="655">
        <v>22</v>
      </c>
      <c r="K1496" s="655">
        <v>2</v>
      </c>
      <c r="L1496" s="656" t="s">
        <v>52</v>
      </c>
      <c r="M1496" s="656" t="s">
        <v>448</v>
      </c>
      <c r="N1496" s="656" t="s">
        <v>449</v>
      </c>
      <c r="O1496" s="656" t="s">
        <v>449</v>
      </c>
      <c r="P1496" s="656" t="s">
        <v>1176</v>
      </c>
      <c r="Q1496" s="657">
        <v>0</v>
      </c>
      <c r="R1496" s="657">
        <v>0</v>
      </c>
      <c r="S1496" s="657">
        <v>28342</v>
      </c>
      <c r="T1496" s="657">
        <v>28342</v>
      </c>
      <c r="U1496" s="657">
        <v>3205</v>
      </c>
      <c r="V1496" s="655">
        <v>2021</v>
      </c>
      <c r="W1496" s="659"/>
      <c r="X1496" s="660">
        <f t="shared" si="71"/>
        <v>8.8430577223088918</v>
      </c>
      <c r="Y1496" s="661" t="str">
        <f t="shared" si="69"/>
        <v/>
      </c>
      <c r="Z1496" s="661" t="str">
        <f t="shared" si="70"/>
        <v/>
      </c>
    </row>
    <row r="1497" spans="1:26" s="128" customFormat="1" ht="25" hidden="1">
      <c r="A1497" s="655">
        <v>60276</v>
      </c>
      <c r="B1497" s="656" t="s">
        <v>54</v>
      </c>
      <c r="C1497" s="655" t="s">
        <v>2793</v>
      </c>
      <c r="D1497" s="656" t="s">
        <v>1886</v>
      </c>
      <c r="E1497" s="656" t="s">
        <v>2340</v>
      </c>
      <c r="F1497" s="655">
        <v>60058</v>
      </c>
      <c r="G1497" s="656" t="s">
        <v>81</v>
      </c>
      <c r="H1497" s="656" t="s">
        <v>1183</v>
      </c>
      <c r="I1497" s="656" t="s">
        <v>58</v>
      </c>
      <c r="J1497" s="655">
        <v>322</v>
      </c>
      <c r="K1497" s="655">
        <v>7</v>
      </c>
      <c r="L1497" s="656" t="s">
        <v>409</v>
      </c>
      <c r="M1497" s="656" t="s">
        <v>50</v>
      </c>
      <c r="N1497" s="656" t="s">
        <v>39</v>
      </c>
      <c r="O1497" s="656" t="s">
        <v>39</v>
      </c>
      <c r="P1497" s="656" t="s">
        <v>1037</v>
      </c>
      <c r="Q1497" s="657">
        <v>338142</v>
      </c>
      <c r="R1497" s="657">
        <v>110344</v>
      </c>
      <c r="S1497" s="657">
        <v>348286</v>
      </c>
      <c r="T1497" s="657">
        <v>113653</v>
      </c>
      <c r="U1497" s="657">
        <v>23037</v>
      </c>
      <c r="V1497" s="655">
        <v>2021</v>
      </c>
      <c r="W1497" s="659"/>
      <c r="X1497" s="660" t="str">
        <f t="shared" si="71"/>
        <v/>
      </c>
      <c r="Y1497" s="661">
        <f t="shared" si="69"/>
        <v>6.9993279731960989</v>
      </c>
      <c r="Z1497" s="661" t="str">
        <f t="shared" si="70"/>
        <v/>
      </c>
    </row>
    <row r="1498" spans="1:26" s="128" customFormat="1">
      <c r="A1498" s="655">
        <v>60278</v>
      </c>
      <c r="B1498" s="656" t="s">
        <v>33</v>
      </c>
      <c r="C1498" s="655" t="s">
        <v>2793</v>
      </c>
      <c r="D1498" s="656" t="s">
        <v>1963</v>
      </c>
      <c r="E1498" s="656" t="s">
        <v>2210</v>
      </c>
      <c r="F1498" s="655">
        <v>61012</v>
      </c>
      <c r="G1498" s="656" t="s">
        <v>81</v>
      </c>
      <c r="H1498" s="656" t="s">
        <v>1183</v>
      </c>
      <c r="I1498" s="656" t="s">
        <v>58</v>
      </c>
      <c r="J1498" s="655">
        <v>22</v>
      </c>
      <c r="K1498" s="655">
        <v>2</v>
      </c>
      <c r="L1498" s="656" t="s">
        <v>52</v>
      </c>
      <c r="M1498" s="656" t="s">
        <v>448</v>
      </c>
      <c r="N1498" s="656" t="s">
        <v>449</v>
      </c>
      <c r="O1498" s="656" t="s">
        <v>449</v>
      </c>
      <c r="P1498" s="656" t="s">
        <v>1176</v>
      </c>
      <c r="Q1498" s="657">
        <v>0</v>
      </c>
      <c r="R1498" s="657">
        <v>0</v>
      </c>
      <c r="S1498" s="657">
        <v>26070</v>
      </c>
      <c r="T1498" s="657">
        <v>26070</v>
      </c>
      <c r="U1498" s="657">
        <v>2948</v>
      </c>
      <c r="V1498" s="655">
        <v>2021</v>
      </c>
      <c r="W1498" s="659"/>
      <c r="X1498" s="660">
        <f t="shared" si="71"/>
        <v>8.843283582089553</v>
      </c>
      <c r="Y1498" s="661" t="str">
        <f t="shared" si="69"/>
        <v/>
      </c>
      <c r="Z1498" s="661" t="str">
        <f t="shared" si="70"/>
        <v/>
      </c>
    </row>
    <row r="1499" spans="1:26" s="128" customFormat="1" hidden="1">
      <c r="A1499" s="655">
        <v>60344</v>
      </c>
      <c r="B1499" s="656" t="s">
        <v>33</v>
      </c>
      <c r="C1499" s="655" t="s">
        <v>2793</v>
      </c>
      <c r="D1499" s="656" t="s">
        <v>1964</v>
      </c>
      <c r="E1499" s="656" t="s">
        <v>1965</v>
      </c>
      <c r="F1499" s="655">
        <v>58135</v>
      </c>
      <c r="G1499" s="656" t="s">
        <v>89</v>
      </c>
      <c r="H1499" s="656" t="s">
        <v>1183</v>
      </c>
      <c r="I1499" s="656" t="s">
        <v>58</v>
      </c>
      <c r="J1499" s="655">
        <v>22</v>
      </c>
      <c r="K1499" s="655">
        <v>2</v>
      </c>
      <c r="L1499" s="656" t="s">
        <v>52</v>
      </c>
      <c r="M1499" s="656" t="s">
        <v>448</v>
      </c>
      <c r="N1499" s="656" t="s">
        <v>449</v>
      </c>
      <c r="O1499" s="656" t="s">
        <v>449</v>
      </c>
      <c r="P1499" s="656" t="s">
        <v>1176</v>
      </c>
      <c r="Q1499" s="657">
        <v>0</v>
      </c>
      <c r="R1499" s="657">
        <v>0</v>
      </c>
      <c r="S1499" s="657">
        <v>26094</v>
      </c>
      <c r="T1499" s="657">
        <v>26094</v>
      </c>
      <c r="U1499" s="657">
        <v>2951</v>
      </c>
      <c r="V1499" s="655">
        <v>2021</v>
      </c>
      <c r="W1499" s="659"/>
      <c r="X1499" s="660">
        <f t="shared" si="71"/>
        <v>8.8424262961707889</v>
      </c>
      <c r="Y1499" s="661" t="str">
        <f t="shared" si="69"/>
        <v/>
      </c>
      <c r="Z1499" s="661" t="str">
        <f t="shared" si="70"/>
        <v/>
      </c>
    </row>
    <row r="1500" spans="1:26" s="128" customFormat="1" ht="25" hidden="1">
      <c r="A1500" s="655">
        <v>60365</v>
      </c>
      <c r="B1500" s="656" t="s">
        <v>33</v>
      </c>
      <c r="C1500" s="655" t="s">
        <v>2793</v>
      </c>
      <c r="D1500" s="656" t="s">
        <v>1887</v>
      </c>
      <c r="E1500" s="656" t="s">
        <v>3136</v>
      </c>
      <c r="F1500" s="655">
        <v>60800</v>
      </c>
      <c r="G1500" s="656" t="s">
        <v>57</v>
      </c>
      <c r="H1500" s="656" t="s">
        <v>1182</v>
      </c>
      <c r="I1500" s="656" t="s">
        <v>58</v>
      </c>
      <c r="J1500" s="655">
        <v>22</v>
      </c>
      <c r="K1500" s="655">
        <v>2</v>
      </c>
      <c r="L1500" s="656" t="s">
        <v>52</v>
      </c>
      <c r="M1500" s="656" t="s">
        <v>448</v>
      </c>
      <c r="N1500" s="656" t="s">
        <v>449</v>
      </c>
      <c r="O1500" s="656" t="s">
        <v>449</v>
      </c>
      <c r="P1500" s="656" t="s">
        <v>1176</v>
      </c>
      <c r="Q1500" s="657">
        <v>0</v>
      </c>
      <c r="R1500" s="657">
        <v>0</v>
      </c>
      <c r="S1500" s="657">
        <v>16748</v>
      </c>
      <c r="T1500" s="657">
        <v>16748</v>
      </c>
      <c r="U1500" s="657">
        <v>1894</v>
      </c>
      <c r="V1500" s="655">
        <v>2021</v>
      </c>
      <c r="W1500" s="659"/>
      <c r="X1500" s="660">
        <f t="shared" si="71"/>
        <v>8.8426610348468841</v>
      </c>
      <c r="Y1500" s="661" t="str">
        <f t="shared" si="69"/>
        <v/>
      </c>
      <c r="Z1500" s="661" t="str">
        <f t="shared" si="70"/>
        <v/>
      </c>
    </row>
    <row r="1501" spans="1:26" s="128" customFormat="1" ht="25">
      <c r="A1501" s="655">
        <v>60391</v>
      </c>
      <c r="B1501" s="656" t="s">
        <v>33</v>
      </c>
      <c r="C1501" s="655" t="s">
        <v>2793</v>
      </c>
      <c r="D1501" s="656" t="s">
        <v>2341</v>
      </c>
      <c r="E1501" s="656" t="s">
        <v>1966</v>
      </c>
      <c r="F1501" s="655">
        <v>60189</v>
      </c>
      <c r="G1501" s="656" t="s">
        <v>81</v>
      </c>
      <c r="H1501" s="656" t="s">
        <v>1183</v>
      </c>
      <c r="I1501" s="656" t="s">
        <v>1155</v>
      </c>
      <c r="J1501" s="655">
        <v>22</v>
      </c>
      <c r="K1501" s="655">
        <v>2</v>
      </c>
      <c r="L1501" s="656" t="s">
        <v>52</v>
      </c>
      <c r="M1501" s="656" t="s">
        <v>448</v>
      </c>
      <c r="N1501" s="656" t="s">
        <v>449</v>
      </c>
      <c r="O1501" s="656" t="s">
        <v>449</v>
      </c>
      <c r="P1501" s="656" t="s">
        <v>1176</v>
      </c>
      <c r="Q1501" s="657">
        <v>0</v>
      </c>
      <c r="R1501" s="657">
        <v>0</v>
      </c>
      <c r="S1501" s="657">
        <v>232775</v>
      </c>
      <c r="T1501" s="657">
        <v>232775</v>
      </c>
      <c r="U1501" s="657">
        <v>26323</v>
      </c>
      <c r="V1501" s="655">
        <v>2021</v>
      </c>
      <c r="W1501" s="659"/>
      <c r="X1501" s="660">
        <f t="shared" si="71"/>
        <v>8.843027010599096</v>
      </c>
      <c r="Y1501" s="661" t="str">
        <f t="shared" si="69"/>
        <v/>
      </c>
      <c r="Z1501" s="661" t="str">
        <f t="shared" si="70"/>
        <v/>
      </c>
    </row>
    <row r="1502" spans="1:26" s="128" customFormat="1" hidden="1">
      <c r="A1502" s="655">
        <v>60392</v>
      </c>
      <c r="B1502" s="656" t="s">
        <v>54</v>
      </c>
      <c r="C1502" s="655" t="s">
        <v>2793</v>
      </c>
      <c r="D1502" s="656" t="s">
        <v>1967</v>
      </c>
      <c r="E1502" s="656" t="s">
        <v>2342</v>
      </c>
      <c r="F1502" s="655">
        <v>62093</v>
      </c>
      <c r="G1502" s="656" t="s">
        <v>41</v>
      </c>
      <c r="H1502" s="656" t="s">
        <v>1183</v>
      </c>
      <c r="I1502" s="656" t="s">
        <v>58</v>
      </c>
      <c r="J1502" s="655">
        <v>22</v>
      </c>
      <c r="K1502" s="655">
        <v>3</v>
      </c>
      <c r="L1502" s="656" t="s">
        <v>55</v>
      </c>
      <c r="M1502" s="656" t="s">
        <v>1255</v>
      </c>
      <c r="N1502" s="656" t="s">
        <v>39</v>
      </c>
      <c r="O1502" s="656" t="s">
        <v>39</v>
      </c>
      <c r="P1502" s="656" t="s">
        <v>1037</v>
      </c>
      <c r="Q1502" s="657">
        <v>492374</v>
      </c>
      <c r="R1502" s="657">
        <v>473426</v>
      </c>
      <c r="S1502" s="657">
        <v>505668</v>
      </c>
      <c r="T1502" s="657">
        <v>486209</v>
      </c>
      <c r="U1502" s="657">
        <v>40077</v>
      </c>
      <c r="V1502" s="655">
        <v>2021</v>
      </c>
      <c r="W1502" s="659"/>
      <c r="X1502" s="660">
        <f t="shared" si="71"/>
        <v>12.131871148040023</v>
      </c>
      <c r="Y1502" s="661" t="str">
        <f t="shared" si="69"/>
        <v/>
      </c>
      <c r="Z1502" s="661" t="str">
        <f t="shared" si="70"/>
        <v/>
      </c>
    </row>
    <row r="1503" spans="1:26" s="128" customFormat="1" hidden="1">
      <c r="A1503" s="655">
        <v>60404</v>
      </c>
      <c r="B1503" s="656" t="s">
        <v>33</v>
      </c>
      <c r="C1503" s="655" t="s">
        <v>2793</v>
      </c>
      <c r="D1503" s="656" t="s">
        <v>1968</v>
      </c>
      <c r="E1503" s="656" t="s">
        <v>1969</v>
      </c>
      <c r="F1503" s="655">
        <v>60207</v>
      </c>
      <c r="G1503" s="656" t="s">
        <v>90</v>
      </c>
      <c r="H1503" s="656" t="s">
        <v>1183</v>
      </c>
      <c r="I1503" s="656" t="s">
        <v>58</v>
      </c>
      <c r="J1503" s="655">
        <v>22</v>
      </c>
      <c r="K1503" s="655">
        <v>2</v>
      </c>
      <c r="L1503" s="656" t="s">
        <v>52</v>
      </c>
      <c r="M1503" s="656" t="s">
        <v>71</v>
      </c>
      <c r="N1503" s="656" t="s">
        <v>72</v>
      </c>
      <c r="O1503" s="656" t="s">
        <v>72</v>
      </c>
      <c r="P1503" s="656" t="s">
        <v>1176</v>
      </c>
      <c r="Q1503" s="657">
        <v>0</v>
      </c>
      <c r="R1503" s="657">
        <v>0</v>
      </c>
      <c r="S1503" s="657">
        <v>261416</v>
      </c>
      <c r="T1503" s="657">
        <v>261416</v>
      </c>
      <c r="U1503" s="657">
        <v>29562</v>
      </c>
      <c r="V1503" s="655">
        <v>2021</v>
      </c>
      <c r="W1503" s="659"/>
      <c r="X1503" s="660">
        <f t="shared" si="71"/>
        <v>8.8429740883566748</v>
      </c>
      <c r="Y1503" s="661" t="str">
        <f t="shared" si="69"/>
        <v/>
      </c>
      <c r="Z1503" s="661" t="str">
        <f t="shared" si="70"/>
        <v/>
      </c>
    </row>
    <row r="1504" spans="1:26" s="128" customFormat="1" hidden="1">
      <c r="A1504" s="655">
        <v>60411</v>
      </c>
      <c r="B1504" s="656" t="s">
        <v>33</v>
      </c>
      <c r="C1504" s="655" t="s">
        <v>2793</v>
      </c>
      <c r="D1504" s="656" t="s">
        <v>1888</v>
      </c>
      <c r="E1504" s="656" t="s">
        <v>1888</v>
      </c>
      <c r="F1504" s="655">
        <v>60801</v>
      </c>
      <c r="G1504" s="656" t="s">
        <v>89</v>
      </c>
      <c r="H1504" s="656" t="s">
        <v>1183</v>
      </c>
      <c r="I1504" s="656" t="s">
        <v>58</v>
      </c>
      <c r="J1504" s="655">
        <v>22</v>
      </c>
      <c r="K1504" s="655">
        <v>2</v>
      </c>
      <c r="L1504" s="656" t="s">
        <v>52</v>
      </c>
      <c r="M1504" s="656" t="s">
        <v>448</v>
      </c>
      <c r="N1504" s="656" t="s">
        <v>449</v>
      </c>
      <c r="O1504" s="656" t="s">
        <v>449</v>
      </c>
      <c r="P1504" s="656" t="s">
        <v>1176</v>
      </c>
      <c r="Q1504" s="657">
        <v>0</v>
      </c>
      <c r="R1504" s="657">
        <v>0</v>
      </c>
      <c r="S1504" s="657">
        <v>23187</v>
      </c>
      <c r="T1504" s="657">
        <v>23187</v>
      </c>
      <c r="U1504" s="657">
        <v>2622</v>
      </c>
      <c r="V1504" s="655">
        <v>2021</v>
      </c>
      <c r="W1504" s="659"/>
      <c r="X1504" s="660">
        <f t="shared" si="71"/>
        <v>8.8432494279176197</v>
      </c>
      <c r="Y1504" s="661" t="str">
        <f t="shared" si="69"/>
        <v/>
      </c>
      <c r="Z1504" s="661" t="str">
        <f t="shared" si="70"/>
        <v/>
      </c>
    </row>
    <row r="1505" spans="1:26" s="128" customFormat="1" ht="25">
      <c r="A1505" s="655">
        <v>60423</v>
      </c>
      <c r="B1505" s="656" t="s">
        <v>33</v>
      </c>
      <c r="C1505" s="655" t="s">
        <v>2793</v>
      </c>
      <c r="D1505" s="656" t="s">
        <v>2140</v>
      </c>
      <c r="E1505" s="656" t="s">
        <v>3372</v>
      </c>
      <c r="F1505" s="655">
        <v>61944</v>
      </c>
      <c r="G1505" s="656" t="s">
        <v>81</v>
      </c>
      <c r="H1505" s="656" t="s">
        <v>1183</v>
      </c>
      <c r="I1505" s="656" t="s">
        <v>58</v>
      </c>
      <c r="J1505" s="655">
        <v>22</v>
      </c>
      <c r="K1505" s="655">
        <v>2</v>
      </c>
      <c r="L1505" s="656" t="s">
        <v>52</v>
      </c>
      <c r="M1505" s="656" t="s">
        <v>448</v>
      </c>
      <c r="N1505" s="656" t="s">
        <v>449</v>
      </c>
      <c r="O1505" s="656" t="s">
        <v>449</v>
      </c>
      <c r="P1505" s="656" t="s">
        <v>1176</v>
      </c>
      <c r="Q1505" s="657">
        <v>0</v>
      </c>
      <c r="R1505" s="657">
        <v>0</v>
      </c>
      <c r="S1505" s="657">
        <v>22929</v>
      </c>
      <c r="T1505" s="657">
        <v>22929</v>
      </c>
      <c r="U1505" s="657">
        <v>2593</v>
      </c>
      <c r="V1505" s="655">
        <v>2021</v>
      </c>
      <c r="W1505" s="659"/>
      <c r="X1505" s="660">
        <f t="shared" si="71"/>
        <v>8.8426532973389893</v>
      </c>
      <c r="Y1505" s="661" t="str">
        <f t="shared" si="69"/>
        <v/>
      </c>
      <c r="Z1505" s="661" t="str">
        <f t="shared" si="70"/>
        <v/>
      </c>
    </row>
    <row r="1506" spans="1:26" s="128" customFormat="1" ht="25">
      <c r="A1506" s="655">
        <v>60424</v>
      </c>
      <c r="B1506" s="656" t="s">
        <v>33</v>
      </c>
      <c r="C1506" s="655" t="s">
        <v>2793</v>
      </c>
      <c r="D1506" s="656" t="s">
        <v>2141</v>
      </c>
      <c r="E1506" s="656" t="s">
        <v>3372</v>
      </c>
      <c r="F1506" s="655">
        <v>61944</v>
      </c>
      <c r="G1506" s="656" t="s">
        <v>81</v>
      </c>
      <c r="H1506" s="656" t="s">
        <v>1183</v>
      </c>
      <c r="I1506" s="656" t="s">
        <v>58</v>
      </c>
      <c r="J1506" s="655">
        <v>22</v>
      </c>
      <c r="K1506" s="655">
        <v>2</v>
      </c>
      <c r="L1506" s="656" t="s">
        <v>52</v>
      </c>
      <c r="M1506" s="656" t="s">
        <v>448</v>
      </c>
      <c r="N1506" s="656" t="s">
        <v>449</v>
      </c>
      <c r="O1506" s="656" t="s">
        <v>449</v>
      </c>
      <c r="P1506" s="656" t="s">
        <v>1176</v>
      </c>
      <c r="Q1506" s="657">
        <v>0</v>
      </c>
      <c r="R1506" s="657">
        <v>0</v>
      </c>
      <c r="S1506" s="657">
        <v>23743</v>
      </c>
      <c r="T1506" s="657">
        <v>23743</v>
      </c>
      <c r="U1506" s="657">
        <v>2685</v>
      </c>
      <c r="V1506" s="655">
        <v>2021</v>
      </c>
      <c r="W1506" s="659"/>
      <c r="X1506" s="660">
        <f t="shared" si="71"/>
        <v>8.8428305400372444</v>
      </c>
      <c r="Y1506" s="661" t="str">
        <f t="shared" si="69"/>
        <v/>
      </c>
      <c r="Z1506" s="661" t="str">
        <f t="shared" si="70"/>
        <v/>
      </c>
    </row>
    <row r="1507" spans="1:26" s="128" customFormat="1" hidden="1">
      <c r="A1507" s="655">
        <v>60425</v>
      </c>
      <c r="B1507" s="656" t="s">
        <v>33</v>
      </c>
      <c r="C1507" s="655" t="s">
        <v>2793</v>
      </c>
      <c r="D1507" s="656" t="s">
        <v>1889</v>
      </c>
      <c r="E1507" s="656" t="s">
        <v>2809</v>
      </c>
      <c r="F1507" s="655">
        <v>63249</v>
      </c>
      <c r="G1507" s="656" t="s">
        <v>57</v>
      </c>
      <c r="H1507" s="656" t="s">
        <v>1182</v>
      </c>
      <c r="I1507" s="656" t="s">
        <v>58</v>
      </c>
      <c r="J1507" s="655">
        <v>22</v>
      </c>
      <c r="K1507" s="655">
        <v>2</v>
      </c>
      <c r="L1507" s="656" t="s">
        <v>52</v>
      </c>
      <c r="M1507" s="656" t="s">
        <v>448</v>
      </c>
      <c r="N1507" s="656" t="s">
        <v>449</v>
      </c>
      <c r="O1507" s="656" t="s">
        <v>449</v>
      </c>
      <c r="P1507" s="656" t="s">
        <v>1176</v>
      </c>
      <c r="Q1507" s="657">
        <v>0</v>
      </c>
      <c r="R1507" s="657">
        <v>0</v>
      </c>
      <c r="S1507" s="657">
        <v>20757</v>
      </c>
      <c r="T1507" s="657">
        <v>20757</v>
      </c>
      <c r="U1507" s="657">
        <v>2347</v>
      </c>
      <c r="V1507" s="655">
        <v>2021</v>
      </c>
      <c r="W1507" s="659"/>
      <c r="X1507" s="660">
        <f t="shared" si="71"/>
        <v>8.844056242011078</v>
      </c>
      <c r="Y1507" s="661" t="str">
        <f t="shared" si="69"/>
        <v/>
      </c>
      <c r="Z1507" s="661" t="str">
        <f t="shared" si="70"/>
        <v/>
      </c>
    </row>
    <row r="1508" spans="1:26" s="128" customFormat="1" ht="25" hidden="1">
      <c r="A1508" s="655">
        <v>60431</v>
      </c>
      <c r="B1508" s="656" t="s">
        <v>33</v>
      </c>
      <c r="C1508" s="655" t="s">
        <v>2793</v>
      </c>
      <c r="D1508" s="656" t="s">
        <v>1970</v>
      </c>
      <c r="E1508" s="656" t="s">
        <v>1971</v>
      </c>
      <c r="F1508" s="655">
        <v>60231</v>
      </c>
      <c r="G1508" s="656" t="s">
        <v>57</v>
      </c>
      <c r="H1508" s="656" t="s">
        <v>1182</v>
      </c>
      <c r="I1508" s="656" t="s">
        <v>58</v>
      </c>
      <c r="J1508" s="655">
        <v>22</v>
      </c>
      <c r="K1508" s="655">
        <v>2</v>
      </c>
      <c r="L1508" s="656" t="s">
        <v>52</v>
      </c>
      <c r="M1508" s="656" t="s">
        <v>448</v>
      </c>
      <c r="N1508" s="656" t="s">
        <v>449</v>
      </c>
      <c r="O1508" s="656" t="s">
        <v>449</v>
      </c>
      <c r="P1508" s="656" t="s">
        <v>1176</v>
      </c>
      <c r="Q1508" s="657">
        <v>0</v>
      </c>
      <c r="R1508" s="657">
        <v>0</v>
      </c>
      <c r="S1508" s="657">
        <v>17305</v>
      </c>
      <c r="T1508" s="657">
        <v>17305</v>
      </c>
      <c r="U1508" s="657">
        <v>1957</v>
      </c>
      <c r="V1508" s="655">
        <v>2021</v>
      </c>
      <c r="W1508" s="659"/>
      <c r="X1508" s="660">
        <f t="shared" si="71"/>
        <v>8.8426162493612672</v>
      </c>
      <c r="Y1508" s="661" t="str">
        <f t="shared" si="69"/>
        <v/>
      </c>
      <c r="Z1508" s="661" t="str">
        <f t="shared" si="70"/>
        <v/>
      </c>
    </row>
    <row r="1509" spans="1:26" s="128" customFormat="1" ht="25">
      <c r="A1509" s="655">
        <v>60442</v>
      </c>
      <c r="B1509" s="656" t="s">
        <v>33</v>
      </c>
      <c r="C1509" s="655" t="s">
        <v>2793</v>
      </c>
      <c r="D1509" s="656" t="s">
        <v>2343</v>
      </c>
      <c r="E1509" s="656" t="s">
        <v>2344</v>
      </c>
      <c r="F1509" s="655">
        <v>62836</v>
      </c>
      <c r="G1509" s="656" t="s">
        <v>81</v>
      </c>
      <c r="H1509" s="656" t="s">
        <v>1183</v>
      </c>
      <c r="I1509" s="656" t="s">
        <v>58</v>
      </c>
      <c r="J1509" s="655">
        <v>22</v>
      </c>
      <c r="K1509" s="655">
        <v>2</v>
      </c>
      <c r="L1509" s="656" t="s">
        <v>52</v>
      </c>
      <c r="M1509" s="656" t="s">
        <v>448</v>
      </c>
      <c r="N1509" s="656" t="s">
        <v>449</v>
      </c>
      <c r="O1509" s="656" t="s">
        <v>449</v>
      </c>
      <c r="P1509" s="656" t="s">
        <v>1176</v>
      </c>
      <c r="Q1509" s="657">
        <v>0</v>
      </c>
      <c r="R1509" s="657">
        <v>0</v>
      </c>
      <c r="S1509" s="657">
        <v>26114</v>
      </c>
      <c r="T1509" s="657">
        <v>26114</v>
      </c>
      <c r="U1509" s="657">
        <v>2953</v>
      </c>
      <c r="V1509" s="655">
        <v>2021</v>
      </c>
      <c r="W1509" s="659"/>
      <c r="X1509" s="660">
        <f t="shared" si="71"/>
        <v>8.8432102946156448</v>
      </c>
      <c r="Y1509" s="661" t="str">
        <f t="shared" si="69"/>
        <v/>
      </c>
      <c r="Z1509" s="661" t="str">
        <f t="shared" si="70"/>
        <v/>
      </c>
    </row>
    <row r="1510" spans="1:26" s="128" customFormat="1" ht="25">
      <c r="A1510" s="655">
        <v>60443</v>
      </c>
      <c r="B1510" s="656" t="s">
        <v>33</v>
      </c>
      <c r="C1510" s="655" t="s">
        <v>2793</v>
      </c>
      <c r="D1510" s="656" t="s">
        <v>2345</v>
      </c>
      <c r="E1510" s="656" t="s">
        <v>2344</v>
      </c>
      <c r="F1510" s="655">
        <v>62836</v>
      </c>
      <c r="G1510" s="656" t="s">
        <v>81</v>
      </c>
      <c r="H1510" s="656" t="s">
        <v>1183</v>
      </c>
      <c r="I1510" s="656" t="s">
        <v>58</v>
      </c>
      <c r="J1510" s="655">
        <v>22</v>
      </c>
      <c r="K1510" s="655">
        <v>2</v>
      </c>
      <c r="L1510" s="656" t="s">
        <v>52</v>
      </c>
      <c r="M1510" s="656" t="s">
        <v>448</v>
      </c>
      <c r="N1510" s="656" t="s">
        <v>449</v>
      </c>
      <c r="O1510" s="656" t="s">
        <v>449</v>
      </c>
      <c r="P1510" s="656" t="s">
        <v>1176</v>
      </c>
      <c r="Q1510" s="657">
        <v>0</v>
      </c>
      <c r="R1510" s="657">
        <v>0</v>
      </c>
      <c r="S1510" s="657">
        <v>28007</v>
      </c>
      <c r="T1510" s="657">
        <v>28007</v>
      </c>
      <c r="U1510" s="657">
        <v>3167</v>
      </c>
      <c r="V1510" s="655">
        <v>2021</v>
      </c>
      <c r="W1510" s="659"/>
      <c r="X1510" s="660">
        <f t="shared" si="71"/>
        <v>8.8433849068519095</v>
      </c>
      <c r="Y1510" s="661" t="str">
        <f t="shared" si="69"/>
        <v/>
      </c>
      <c r="Z1510" s="661" t="str">
        <f t="shared" si="70"/>
        <v/>
      </c>
    </row>
    <row r="1511" spans="1:26" s="128" customFormat="1" hidden="1">
      <c r="A1511" s="655">
        <v>60451</v>
      </c>
      <c r="B1511" s="656" t="s">
        <v>33</v>
      </c>
      <c r="C1511" s="655" t="s">
        <v>2793</v>
      </c>
      <c r="D1511" s="656" t="s">
        <v>1972</v>
      </c>
      <c r="E1511" s="656" t="s">
        <v>2809</v>
      </c>
      <c r="F1511" s="655">
        <v>63249</v>
      </c>
      <c r="G1511" s="656" t="s">
        <v>131</v>
      </c>
      <c r="H1511" s="656" t="s">
        <v>1183</v>
      </c>
      <c r="I1511" s="656" t="s">
        <v>58</v>
      </c>
      <c r="J1511" s="655">
        <v>22</v>
      </c>
      <c r="K1511" s="655">
        <v>2</v>
      </c>
      <c r="L1511" s="656" t="s">
        <v>52</v>
      </c>
      <c r="M1511" s="656" t="s">
        <v>448</v>
      </c>
      <c r="N1511" s="656" t="s">
        <v>449</v>
      </c>
      <c r="O1511" s="656" t="s">
        <v>449</v>
      </c>
      <c r="P1511" s="656" t="s">
        <v>1176</v>
      </c>
      <c r="Q1511" s="657">
        <v>0</v>
      </c>
      <c r="R1511" s="657">
        <v>0</v>
      </c>
      <c r="S1511" s="657">
        <v>12920</v>
      </c>
      <c r="T1511" s="657">
        <v>12920</v>
      </c>
      <c r="U1511" s="657">
        <v>1461</v>
      </c>
      <c r="V1511" s="655">
        <v>2021</v>
      </c>
      <c r="W1511" s="659"/>
      <c r="X1511" s="660">
        <f t="shared" si="71"/>
        <v>8.8432580424366876</v>
      </c>
      <c r="Y1511" s="661" t="str">
        <f t="shared" si="69"/>
        <v/>
      </c>
      <c r="Z1511" s="661" t="str">
        <f t="shared" si="70"/>
        <v/>
      </c>
    </row>
    <row r="1512" spans="1:26" s="128" customFormat="1" hidden="1">
      <c r="A1512" s="655">
        <v>60452</v>
      </c>
      <c r="B1512" s="656" t="s">
        <v>33</v>
      </c>
      <c r="C1512" s="655" t="s">
        <v>2793</v>
      </c>
      <c r="D1512" s="656" t="s">
        <v>1973</v>
      </c>
      <c r="E1512" s="656" t="s">
        <v>2809</v>
      </c>
      <c r="F1512" s="655">
        <v>63249</v>
      </c>
      <c r="G1512" s="656" t="s">
        <v>57</v>
      </c>
      <c r="H1512" s="656" t="s">
        <v>1182</v>
      </c>
      <c r="I1512" s="656" t="s">
        <v>58</v>
      </c>
      <c r="J1512" s="655">
        <v>22</v>
      </c>
      <c r="K1512" s="655">
        <v>2</v>
      </c>
      <c r="L1512" s="656" t="s">
        <v>52</v>
      </c>
      <c r="M1512" s="656" t="s">
        <v>448</v>
      </c>
      <c r="N1512" s="656" t="s">
        <v>449</v>
      </c>
      <c r="O1512" s="656" t="s">
        <v>449</v>
      </c>
      <c r="P1512" s="656" t="s">
        <v>1176</v>
      </c>
      <c r="Q1512" s="657">
        <v>0</v>
      </c>
      <c r="R1512" s="657">
        <v>0</v>
      </c>
      <c r="S1512" s="657">
        <v>0</v>
      </c>
      <c r="T1512" s="657">
        <v>0</v>
      </c>
      <c r="U1512" s="657">
        <v>0</v>
      </c>
      <c r="V1512" s="655">
        <v>2021</v>
      </c>
      <c r="W1512" s="659"/>
      <c r="X1512" s="660" t="str">
        <f t="shared" si="71"/>
        <v/>
      </c>
      <c r="Y1512" s="661" t="str">
        <f t="shared" si="69"/>
        <v/>
      </c>
      <c r="Z1512" s="661" t="str">
        <f t="shared" si="70"/>
        <v/>
      </c>
    </row>
    <row r="1513" spans="1:26" s="128" customFormat="1" hidden="1">
      <c r="A1513" s="655">
        <v>60453</v>
      </c>
      <c r="B1513" s="656" t="s">
        <v>33</v>
      </c>
      <c r="C1513" s="655" t="s">
        <v>2793</v>
      </c>
      <c r="D1513" s="656" t="s">
        <v>1974</v>
      </c>
      <c r="E1513" s="656" t="s">
        <v>2809</v>
      </c>
      <c r="F1513" s="655">
        <v>63249</v>
      </c>
      <c r="G1513" s="656" t="s">
        <v>57</v>
      </c>
      <c r="H1513" s="656" t="s">
        <v>1182</v>
      </c>
      <c r="I1513" s="656" t="s">
        <v>58</v>
      </c>
      <c r="J1513" s="655">
        <v>22</v>
      </c>
      <c r="K1513" s="655">
        <v>2</v>
      </c>
      <c r="L1513" s="656" t="s">
        <v>52</v>
      </c>
      <c r="M1513" s="656" t="s">
        <v>448</v>
      </c>
      <c r="N1513" s="656" t="s">
        <v>449</v>
      </c>
      <c r="O1513" s="656" t="s">
        <v>449</v>
      </c>
      <c r="P1513" s="656" t="s">
        <v>1176</v>
      </c>
      <c r="Q1513" s="657">
        <v>0</v>
      </c>
      <c r="R1513" s="657">
        <v>0</v>
      </c>
      <c r="S1513" s="657">
        <v>0</v>
      </c>
      <c r="T1513" s="657">
        <v>0</v>
      </c>
      <c r="U1513" s="657">
        <v>0</v>
      </c>
      <c r="V1513" s="655">
        <v>2021</v>
      </c>
      <c r="W1513" s="659"/>
      <c r="X1513" s="660" t="str">
        <f t="shared" si="71"/>
        <v/>
      </c>
      <c r="Y1513" s="661" t="str">
        <f t="shared" si="69"/>
        <v/>
      </c>
      <c r="Z1513" s="661" t="str">
        <f t="shared" si="70"/>
        <v/>
      </c>
    </row>
    <row r="1514" spans="1:26" s="128" customFormat="1" hidden="1">
      <c r="A1514" s="655">
        <v>60454</v>
      </c>
      <c r="B1514" s="656" t="s">
        <v>33</v>
      </c>
      <c r="C1514" s="655" t="s">
        <v>2793</v>
      </c>
      <c r="D1514" s="656" t="s">
        <v>1975</v>
      </c>
      <c r="E1514" s="656" t="s">
        <v>2809</v>
      </c>
      <c r="F1514" s="655">
        <v>63249</v>
      </c>
      <c r="G1514" s="656" t="s">
        <v>57</v>
      </c>
      <c r="H1514" s="656" t="s">
        <v>1182</v>
      </c>
      <c r="I1514" s="656" t="s">
        <v>58</v>
      </c>
      <c r="J1514" s="655">
        <v>22</v>
      </c>
      <c r="K1514" s="655">
        <v>2</v>
      </c>
      <c r="L1514" s="656" t="s">
        <v>52</v>
      </c>
      <c r="M1514" s="656" t="s">
        <v>448</v>
      </c>
      <c r="N1514" s="656" t="s">
        <v>449</v>
      </c>
      <c r="O1514" s="656" t="s">
        <v>449</v>
      </c>
      <c r="P1514" s="656" t="s">
        <v>1176</v>
      </c>
      <c r="Q1514" s="657">
        <v>0</v>
      </c>
      <c r="R1514" s="657">
        <v>0</v>
      </c>
      <c r="S1514" s="657">
        <v>0</v>
      </c>
      <c r="T1514" s="657">
        <v>0</v>
      </c>
      <c r="U1514" s="657">
        <v>0</v>
      </c>
      <c r="V1514" s="655">
        <v>2021</v>
      </c>
      <c r="W1514" s="659"/>
      <c r="X1514" s="660" t="str">
        <f t="shared" si="71"/>
        <v/>
      </c>
      <c r="Y1514" s="661" t="str">
        <f t="shared" si="69"/>
        <v/>
      </c>
      <c r="Z1514" s="661" t="str">
        <f t="shared" si="70"/>
        <v/>
      </c>
    </row>
    <row r="1515" spans="1:26" s="128" customFormat="1" hidden="1">
      <c r="A1515" s="655">
        <v>60455</v>
      </c>
      <c r="B1515" s="656" t="s">
        <v>33</v>
      </c>
      <c r="C1515" s="655" t="s">
        <v>2793</v>
      </c>
      <c r="D1515" s="656" t="s">
        <v>1976</v>
      </c>
      <c r="E1515" s="656" t="s">
        <v>1977</v>
      </c>
      <c r="F1515" s="655">
        <v>60239</v>
      </c>
      <c r="G1515" s="656" t="s">
        <v>57</v>
      </c>
      <c r="H1515" s="656" t="s">
        <v>1182</v>
      </c>
      <c r="I1515" s="656" t="s">
        <v>58</v>
      </c>
      <c r="J1515" s="655">
        <v>22</v>
      </c>
      <c r="K1515" s="655">
        <v>2</v>
      </c>
      <c r="L1515" s="656" t="s">
        <v>52</v>
      </c>
      <c r="M1515" s="656" t="s">
        <v>448</v>
      </c>
      <c r="N1515" s="656" t="s">
        <v>449</v>
      </c>
      <c r="O1515" s="656" t="s">
        <v>449</v>
      </c>
      <c r="P1515" s="656" t="s">
        <v>1176</v>
      </c>
      <c r="Q1515" s="657">
        <v>0</v>
      </c>
      <c r="R1515" s="657">
        <v>0</v>
      </c>
      <c r="S1515" s="657">
        <v>23158</v>
      </c>
      <c r="T1515" s="657">
        <v>23158</v>
      </c>
      <c r="U1515" s="657">
        <v>2619</v>
      </c>
      <c r="V1515" s="655">
        <v>2021</v>
      </c>
      <c r="W1515" s="659"/>
      <c r="X1515" s="660">
        <f t="shared" si="71"/>
        <v>8.8423062237495227</v>
      </c>
      <c r="Y1515" s="661" t="str">
        <f t="shared" si="69"/>
        <v/>
      </c>
      <c r="Z1515" s="661" t="str">
        <f t="shared" si="70"/>
        <v/>
      </c>
    </row>
    <row r="1516" spans="1:26" s="128" customFormat="1" hidden="1">
      <c r="A1516" s="655">
        <v>60456</v>
      </c>
      <c r="B1516" s="656" t="s">
        <v>33</v>
      </c>
      <c r="C1516" s="655" t="s">
        <v>2793</v>
      </c>
      <c r="D1516" s="656" t="s">
        <v>1978</v>
      </c>
      <c r="E1516" s="656" t="s">
        <v>1977</v>
      </c>
      <c r="F1516" s="655">
        <v>60239</v>
      </c>
      <c r="G1516" s="656" t="s">
        <v>57</v>
      </c>
      <c r="H1516" s="656" t="s">
        <v>1182</v>
      </c>
      <c r="I1516" s="656" t="s">
        <v>58</v>
      </c>
      <c r="J1516" s="655">
        <v>22</v>
      </c>
      <c r="K1516" s="655">
        <v>2</v>
      </c>
      <c r="L1516" s="656" t="s">
        <v>52</v>
      </c>
      <c r="M1516" s="656" t="s">
        <v>448</v>
      </c>
      <c r="N1516" s="656" t="s">
        <v>449</v>
      </c>
      <c r="O1516" s="656" t="s">
        <v>449</v>
      </c>
      <c r="P1516" s="656" t="s">
        <v>1176</v>
      </c>
      <c r="Q1516" s="657">
        <v>0</v>
      </c>
      <c r="R1516" s="657">
        <v>0</v>
      </c>
      <c r="S1516" s="657">
        <v>23158</v>
      </c>
      <c r="T1516" s="657">
        <v>23158</v>
      </c>
      <c r="U1516" s="657">
        <v>2619</v>
      </c>
      <c r="V1516" s="655">
        <v>2021</v>
      </c>
      <c r="W1516" s="659"/>
      <c r="X1516" s="660">
        <f t="shared" si="71"/>
        <v>8.8423062237495227</v>
      </c>
      <c r="Y1516" s="661" t="str">
        <f t="shared" si="69"/>
        <v/>
      </c>
      <c r="Z1516" s="661" t="str">
        <f t="shared" si="70"/>
        <v/>
      </c>
    </row>
    <row r="1517" spans="1:26" s="128" customFormat="1" hidden="1">
      <c r="A1517" s="655">
        <v>60457</v>
      </c>
      <c r="B1517" s="656" t="s">
        <v>33</v>
      </c>
      <c r="C1517" s="655" t="s">
        <v>2793</v>
      </c>
      <c r="D1517" s="656" t="s">
        <v>1979</v>
      </c>
      <c r="E1517" s="656" t="s">
        <v>1980</v>
      </c>
      <c r="F1517" s="655">
        <v>60242</v>
      </c>
      <c r="G1517" s="656" t="s">
        <v>90</v>
      </c>
      <c r="H1517" s="656" t="s">
        <v>1183</v>
      </c>
      <c r="I1517" s="656" t="s">
        <v>58</v>
      </c>
      <c r="J1517" s="655">
        <v>22</v>
      </c>
      <c r="K1517" s="655">
        <v>2</v>
      </c>
      <c r="L1517" s="656" t="s">
        <v>52</v>
      </c>
      <c r="M1517" s="656" t="s">
        <v>1981</v>
      </c>
      <c r="N1517" s="656" t="s">
        <v>69</v>
      </c>
      <c r="O1517" s="656" t="s">
        <v>70</v>
      </c>
      <c r="P1517" s="656" t="s">
        <v>45</v>
      </c>
      <c r="Q1517" s="657">
        <v>114275</v>
      </c>
      <c r="R1517" s="657">
        <v>114275</v>
      </c>
      <c r="S1517" s="657">
        <v>971340</v>
      </c>
      <c r="T1517" s="657">
        <v>971340</v>
      </c>
      <c r="U1517" s="657">
        <v>59221</v>
      </c>
      <c r="V1517" s="655">
        <v>2021</v>
      </c>
      <c r="W1517" s="659"/>
      <c r="X1517" s="660">
        <f t="shared" si="71"/>
        <v>16.40195201026663</v>
      </c>
      <c r="Y1517" s="661" t="str">
        <f t="shared" si="69"/>
        <v/>
      </c>
      <c r="Z1517" s="661" t="str">
        <f t="shared" si="70"/>
        <v/>
      </c>
    </row>
    <row r="1518" spans="1:26" s="128" customFormat="1">
      <c r="A1518" s="655">
        <v>60458</v>
      </c>
      <c r="B1518" s="656" t="s">
        <v>33</v>
      </c>
      <c r="C1518" s="655" t="s">
        <v>2793</v>
      </c>
      <c r="D1518" s="656" t="s">
        <v>1982</v>
      </c>
      <c r="E1518" s="656" t="s">
        <v>1983</v>
      </c>
      <c r="F1518" s="655">
        <v>60240</v>
      </c>
      <c r="G1518" s="656" t="s">
        <v>81</v>
      </c>
      <c r="H1518" s="656" t="s">
        <v>1183</v>
      </c>
      <c r="I1518" s="656" t="s">
        <v>58</v>
      </c>
      <c r="J1518" s="655">
        <v>22</v>
      </c>
      <c r="K1518" s="655">
        <v>2</v>
      </c>
      <c r="L1518" s="656" t="s">
        <v>52</v>
      </c>
      <c r="M1518" s="656" t="s">
        <v>448</v>
      </c>
      <c r="N1518" s="656" t="s">
        <v>449</v>
      </c>
      <c r="O1518" s="656" t="s">
        <v>449</v>
      </c>
      <c r="P1518" s="656" t="s">
        <v>1176</v>
      </c>
      <c r="Q1518" s="657">
        <v>0</v>
      </c>
      <c r="R1518" s="657">
        <v>0</v>
      </c>
      <c r="S1518" s="657">
        <v>35134</v>
      </c>
      <c r="T1518" s="657">
        <v>35134</v>
      </c>
      <c r="U1518" s="657">
        <v>3973</v>
      </c>
      <c r="V1518" s="655">
        <v>2021</v>
      </c>
      <c r="W1518" s="659"/>
      <c r="X1518" s="660">
        <f t="shared" si="71"/>
        <v>8.8431915429146741</v>
      </c>
      <c r="Y1518" s="661" t="str">
        <f t="shared" si="69"/>
        <v/>
      </c>
      <c r="Z1518" s="661" t="str">
        <f t="shared" si="70"/>
        <v/>
      </c>
    </row>
    <row r="1519" spans="1:26" s="128" customFormat="1" ht="25" hidden="1">
      <c r="A1519" s="655">
        <v>60462</v>
      </c>
      <c r="B1519" s="656" t="s">
        <v>33</v>
      </c>
      <c r="C1519" s="655" t="s">
        <v>2793</v>
      </c>
      <c r="D1519" s="656" t="s">
        <v>2142</v>
      </c>
      <c r="E1519" s="656" t="s">
        <v>1922</v>
      </c>
      <c r="F1519" s="655">
        <v>60947</v>
      </c>
      <c r="G1519" s="656" t="s">
        <v>57</v>
      </c>
      <c r="H1519" s="656" t="s">
        <v>1182</v>
      </c>
      <c r="I1519" s="656" t="s">
        <v>58</v>
      </c>
      <c r="J1519" s="655">
        <v>22</v>
      </c>
      <c r="K1519" s="655">
        <v>2</v>
      </c>
      <c r="L1519" s="656" t="s">
        <v>52</v>
      </c>
      <c r="M1519" s="656" t="s">
        <v>448</v>
      </c>
      <c r="N1519" s="656" t="s">
        <v>449</v>
      </c>
      <c r="O1519" s="656" t="s">
        <v>449</v>
      </c>
      <c r="P1519" s="656" t="s">
        <v>1176</v>
      </c>
      <c r="Q1519" s="657">
        <v>0</v>
      </c>
      <c r="R1519" s="657">
        <v>0</v>
      </c>
      <c r="S1519" s="657">
        <v>26458</v>
      </c>
      <c r="T1519" s="657">
        <v>26458</v>
      </c>
      <c r="U1519" s="657">
        <v>2992</v>
      </c>
      <c r="V1519" s="655">
        <v>2021</v>
      </c>
      <c r="W1519" s="659"/>
      <c r="X1519" s="660">
        <f t="shared" si="71"/>
        <v>8.8429144385026746</v>
      </c>
      <c r="Y1519" s="661" t="str">
        <f t="shared" si="69"/>
        <v/>
      </c>
      <c r="Z1519" s="661" t="str">
        <f t="shared" si="70"/>
        <v/>
      </c>
    </row>
    <row r="1520" spans="1:26" s="128" customFormat="1" hidden="1">
      <c r="A1520" s="655">
        <v>60463</v>
      </c>
      <c r="B1520" s="656" t="s">
        <v>33</v>
      </c>
      <c r="C1520" s="655" t="s">
        <v>2793</v>
      </c>
      <c r="D1520" s="656" t="s">
        <v>1984</v>
      </c>
      <c r="E1520" s="656" t="s">
        <v>1922</v>
      </c>
      <c r="F1520" s="655">
        <v>60947</v>
      </c>
      <c r="G1520" s="656" t="s">
        <v>57</v>
      </c>
      <c r="H1520" s="656" t="s">
        <v>1182</v>
      </c>
      <c r="I1520" s="656" t="s">
        <v>58</v>
      </c>
      <c r="J1520" s="655">
        <v>22</v>
      </c>
      <c r="K1520" s="655">
        <v>2</v>
      </c>
      <c r="L1520" s="656" t="s">
        <v>52</v>
      </c>
      <c r="M1520" s="656" t="s">
        <v>448</v>
      </c>
      <c r="N1520" s="656" t="s">
        <v>449</v>
      </c>
      <c r="O1520" s="656" t="s">
        <v>449</v>
      </c>
      <c r="P1520" s="656" t="s">
        <v>1176</v>
      </c>
      <c r="Q1520" s="657">
        <v>0</v>
      </c>
      <c r="R1520" s="657">
        <v>0</v>
      </c>
      <c r="S1520" s="657">
        <v>17456</v>
      </c>
      <c r="T1520" s="657">
        <v>17456</v>
      </c>
      <c r="U1520" s="657">
        <v>1974</v>
      </c>
      <c r="V1520" s="655">
        <v>2021</v>
      </c>
      <c r="W1520" s="659"/>
      <c r="X1520" s="660">
        <f t="shared" si="71"/>
        <v>8.8429584599797373</v>
      </c>
      <c r="Y1520" s="661" t="str">
        <f t="shared" si="69"/>
        <v/>
      </c>
      <c r="Z1520" s="661" t="str">
        <f t="shared" si="70"/>
        <v/>
      </c>
    </row>
    <row r="1521" spans="1:26" s="128" customFormat="1" ht="25">
      <c r="A1521" s="655">
        <v>60473</v>
      </c>
      <c r="B1521" s="656" t="s">
        <v>33</v>
      </c>
      <c r="C1521" s="655" t="s">
        <v>2793</v>
      </c>
      <c r="D1521" s="656" t="s">
        <v>2346</v>
      </c>
      <c r="E1521" s="656" t="s">
        <v>2344</v>
      </c>
      <c r="F1521" s="655">
        <v>62836</v>
      </c>
      <c r="G1521" s="656" t="s">
        <v>81</v>
      </c>
      <c r="H1521" s="656" t="s">
        <v>1183</v>
      </c>
      <c r="I1521" s="656" t="s">
        <v>58</v>
      </c>
      <c r="J1521" s="655">
        <v>22</v>
      </c>
      <c r="K1521" s="655">
        <v>2</v>
      </c>
      <c r="L1521" s="656" t="s">
        <v>52</v>
      </c>
      <c r="M1521" s="656" t="s">
        <v>448</v>
      </c>
      <c r="N1521" s="656" t="s">
        <v>449</v>
      </c>
      <c r="O1521" s="656" t="s">
        <v>449</v>
      </c>
      <c r="P1521" s="656" t="s">
        <v>1176</v>
      </c>
      <c r="Q1521" s="657">
        <v>0</v>
      </c>
      <c r="R1521" s="657">
        <v>0</v>
      </c>
      <c r="S1521" s="657">
        <v>18065</v>
      </c>
      <c r="T1521" s="657">
        <v>18065</v>
      </c>
      <c r="U1521" s="657">
        <v>2043</v>
      </c>
      <c r="V1521" s="655">
        <v>2021</v>
      </c>
      <c r="W1521" s="659"/>
      <c r="X1521" s="660">
        <f t="shared" si="71"/>
        <v>8.8423886441507591</v>
      </c>
      <c r="Y1521" s="661" t="str">
        <f t="shared" si="69"/>
        <v/>
      </c>
      <c r="Z1521" s="661" t="str">
        <f t="shared" si="70"/>
        <v/>
      </c>
    </row>
    <row r="1522" spans="1:26" s="128" customFormat="1" ht="25">
      <c r="A1522" s="655">
        <v>60476</v>
      </c>
      <c r="B1522" s="656" t="s">
        <v>33</v>
      </c>
      <c r="C1522" s="655" t="s">
        <v>2793</v>
      </c>
      <c r="D1522" s="656" t="s">
        <v>2347</v>
      </c>
      <c r="E1522" s="656" t="s">
        <v>2344</v>
      </c>
      <c r="F1522" s="655">
        <v>62836</v>
      </c>
      <c r="G1522" s="656" t="s">
        <v>81</v>
      </c>
      <c r="H1522" s="656" t="s">
        <v>1183</v>
      </c>
      <c r="I1522" s="656" t="s">
        <v>58</v>
      </c>
      <c r="J1522" s="655">
        <v>22</v>
      </c>
      <c r="K1522" s="655">
        <v>2</v>
      </c>
      <c r="L1522" s="656" t="s">
        <v>52</v>
      </c>
      <c r="M1522" s="656" t="s">
        <v>448</v>
      </c>
      <c r="N1522" s="656" t="s">
        <v>449</v>
      </c>
      <c r="O1522" s="656" t="s">
        <v>449</v>
      </c>
      <c r="P1522" s="656" t="s">
        <v>1176</v>
      </c>
      <c r="Q1522" s="657">
        <v>0</v>
      </c>
      <c r="R1522" s="657">
        <v>0</v>
      </c>
      <c r="S1522" s="657">
        <v>15979</v>
      </c>
      <c r="T1522" s="657">
        <v>15979</v>
      </c>
      <c r="U1522" s="657">
        <v>1807</v>
      </c>
      <c r="V1522" s="655">
        <v>2021</v>
      </c>
      <c r="W1522" s="659"/>
      <c r="X1522" s="660">
        <f t="shared" si="71"/>
        <v>8.8428334255672389</v>
      </c>
      <c r="Y1522" s="661" t="str">
        <f t="shared" si="69"/>
        <v/>
      </c>
      <c r="Z1522" s="661" t="str">
        <f t="shared" si="70"/>
        <v/>
      </c>
    </row>
    <row r="1523" spans="1:26" s="128" customFormat="1" hidden="1">
      <c r="A1523" s="655">
        <v>60477</v>
      </c>
      <c r="B1523" s="656" t="s">
        <v>33</v>
      </c>
      <c r="C1523" s="655" t="s">
        <v>2793</v>
      </c>
      <c r="D1523" s="656" t="s">
        <v>1985</v>
      </c>
      <c r="E1523" s="656" t="s">
        <v>1986</v>
      </c>
      <c r="F1523" s="655">
        <v>60250</v>
      </c>
      <c r="G1523" s="656" t="s">
        <v>57</v>
      </c>
      <c r="H1523" s="656" t="s">
        <v>1182</v>
      </c>
      <c r="I1523" s="656" t="s">
        <v>58</v>
      </c>
      <c r="J1523" s="655">
        <v>22</v>
      </c>
      <c r="K1523" s="655">
        <v>2</v>
      </c>
      <c r="L1523" s="656" t="s">
        <v>52</v>
      </c>
      <c r="M1523" s="656" t="s">
        <v>448</v>
      </c>
      <c r="N1523" s="656" t="s">
        <v>449</v>
      </c>
      <c r="O1523" s="656" t="s">
        <v>449</v>
      </c>
      <c r="P1523" s="656" t="s">
        <v>1176</v>
      </c>
      <c r="Q1523" s="657">
        <v>0</v>
      </c>
      <c r="R1523" s="657">
        <v>0</v>
      </c>
      <c r="S1523" s="657">
        <v>18562</v>
      </c>
      <c r="T1523" s="657">
        <v>18562</v>
      </c>
      <c r="U1523" s="657">
        <v>2099</v>
      </c>
      <c r="V1523" s="655">
        <v>2021</v>
      </c>
      <c r="W1523" s="659"/>
      <c r="X1523" s="660">
        <f t="shared" si="71"/>
        <v>8.843258694616484</v>
      </c>
      <c r="Y1523" s="661" t="str">
        <f t="shared" si="69"/>
        <v/>
      </c>
      <c r="Z1523" s="661" t="str">
        <f t="shared" si="70"/>
        <v/>
      </c>
    </row>
    <row r="1524" spans="1:26" s="128" customFormat="1" hidden="1">
      <c r="A1524" s="655">
        <v>60478</v>
      </c>
      <c r="B1524" s="656" t="s">
        <v>33</v>
      </c>
      <c r="C1524" s="655" t="s">
        <v>2793</v>
      </c>
      <c r="D1524" s="656" t="s">
        <v>1987</v>
      </c>
      <c r="E1524" s="656" t="s">
        <v>1986</v>
      </c>
      <c r="F1524" s="655">
        <v>60250</v>
      </c>
      <c r="G1524" s="656" t="s">
        <v>57</v>
      </c>
      <c r="H1524" s="656" t="s">
        <v>1182</v>
      </c>
      <c r="I1524" s="656" t="s">
        <v>58</v>
      </c>
      <c r="J1524" s="655">
        <v>22</v>
      </c>
      <c r="K1524" s="655">
        <v>2</v>
      </c>
      <c r="L1524" s="656" t="s">
        <v>52</v>
      </c>
      <c r="M1524" s="656" t="s">
        <v>448</v>
      </c>
      <c r="N1524" s="656" t="s">
        <v>449</v>
      </c>
      <c r="O1524" s="656" t="s">
        <v>449</v>
      </c>
      <c r="P1524" s="656" t="s">
        <v>1176</v>
      </c>
      <c r="Q1524" s="657">
        <v>0</v>
      </c>
      <c r="R1524" s="657">
        <v>0</v>
      </c>
      <c r="S1524" s="657">
        <v>18562</v>
      </c>
      <c r="T1524" s="657">
        <v>18562</v>
      </c>
      <c r="U1524" s="657">
        <v>2099</v>
      </c>
      <c r="V1524" s="655">
        <v>2021</v>
      </c>
      <c r="W1524" s="659"/>
      <c r="X1524" s="660">
        <f t="shared" si="71"/>
        <v>8.843258694616484</v>
      </c>
      <c r="Y1524" s="661" t="str">
        <f t="shared" si="69"/>
        <v/>
      </c>
      <c r="Z1524" s="661" t="str">
        <f t="shared" si="70"/>
        <v/>
      </c>
    </row>
    <row r="1525" spans="1:26" s="128" customFormat="1" ht="25">
      <c r="A1525" s="655">
        <v>60492</v>
      </c>
      <c r="B1525" s="656" t="s">
        <v>33</v>
      </c>
      <c r="C1525" s="655" t="s">
        <v>2793</v>
      </c>
      <c r="D1525" s="656" t="s">
        <v>1988</v>
      </c>
      <c r="E1525" s="656" t="s">
        <v>1989</v>
      </c>
      <c r="F1525" s="655">
        <v>60281</v>
      </c>
      <c r="G1525" s="656" t="s">
        <v>81</v>
      </c>
      <c r="H1525" s="656" t="s">
        <v>1183</v>
      </c>
      <c r="I1525" s="656" t="s">
        <v>58</v>
      </c>
      <c r="J1525" s="655">
        <v>22</v>
      </c>
      <c r="K1525" s="655">
        <v>2</v>
      </c>
      <c r="L1525" s="656" t="s">
        <v>52</v>
      </c>
      <c r="M1525" s="656" t="s">
        <v>448</v>
      </c>
      <c r="N1525" s="656" t="s">
        <v>449</v>
      </c>
      <c r="O1525" s="656" t="s">
        <v>449</v>
      </c>
      <c r="P1525" s="656" t="s">
        <v>1176</v>
      </c>
      <c r="Q1525" s="657">
        <v>0</v>
      </c>
      <c r="R1525" s="657">
        <v>0</v>
      </c>
      <c r="S1525" s="657">
        <v>28404</v>
      </c>
      <c r="T1525" s="657">
        <v>28404</v>
      </c>
      <c r="U1525" s="657">
        <v>3212</v>
      </c>
      <c r="V1525" s="655">
        <v>2021</v>
      </c>
      <c r="W1525" s="659"/>
      <c r="X1525" s="660">
        <f t="shared" si="71"/>
        <v>8.8430884184308844</v>
      </c>
      <c r="Y1525" s="661" t="str">
        <f t="shared" si="69"/>
        <v/>
      </c>
      <c r="Z1525" s="661" t="str">
        <f t="shared" si="70"/>
        <v/>
      </c>
    </row>
    <row r="1526" spans="1:26" s="128" customFormat="1" ht="25">
      <c r="A1526" s="655">
        <v>60493</v>
      </c>
      <c r="B1526" s="656" t="s">
        <v>33</v>
      </c>
      <c r="C1526" s="655" t="s">
        <v>2793</v>
      </c>
      <c r="D1526" s="656" t="s">
        <v>1990</v>
      </c>
      <c r="E1526" s="656" t="s">
        <v>1989</v>
      </c>
      <c r="F1526" s="655">
        <v>60281</v>
      </c>
      <c r="G1526" s="656" t="s">
        <v>81</v>
      </c>
      <c r="H1526" s="656" t="s">
        <v>1183</v>
      </c>
      <c r="I1526" s="656" t="s">
        <v>58</v>
      </c>
      <c r="J1526" s="655">
        <v>22</v>
      </c>
      <c r="K1526" s="655">
        <v>2</v>
      </c>
      <c r="L1526" s="656" t="s">
        <v>52</v>
      </c>
      <c r="M1526" s="656" t="s">
        <v>448</v>
      </c>
      <c r="N1526" s="656" t="s">
        <v>449</v>
      </c>
      <c r="O1526" s="656" t="s">
        <v>449</v>
      </c>
      <c r="P1526" s="656" t="s">
        <v>1176</v>
      </c>
      <c r="Q1526" s="657">
        <v>0</v>
      </c>
      <c r="R1526" s="657">
        <v>0</v>
      </c>
      <c r="S1526" s="657">
        <v>29829</v>
      </c>
      <c r="T1526" s="657">
        <v>29829</v>
      </c>
      <c r="U1526" s="657">
        <v>3373</v>
      </c>
      <c r="V1526" s="655">
        <v>2021</v>
      </c>
      <c r="W1526" s="659"/>
      <c r="X1526" s="660">
        <f t="shared" si="71"/>
        <v>8.8434627927660845</v>
      </c>
      <c r="Y1526" s="661" t="str">
        <f t="shared" si="69"/>
        <v/>
      </c>
      <c r="Z1526" s="661" t="str">
        <f t="shared" si="70"/>
        <v/>
      </c>
    </row>
    <row r="1527" spans="1:26" s="128" customFormat="1" ht="25">
      <c r="A1527" s="655">
        <v>60494</v>
      </c>
      <c r="B1527" s="656" t="s">
        <v>33</v>
      </c>
      <c r="C1527" s="655" t="s">
        <v>2793</v>
      </c>
      <c r="D1527" s="656" t="s">
        <v>1991</v>
      </c>
      <c r="E1527" s="656" t="s">
        <v>1989</v>
      </c>
      <c r="F1527" s="655">
        <v>60281</v>
      </c>
      <c r="G1527" s="656" t="s">
        <v>81</v>
      </c>
      <c r="H1527" s="656" t="s">
        <v>1183</v>
      </c>
      <c r="I1527" s="656" t="s">
        <v>58</v>
      </c>
      <c r="J1527" s="655">
        <v>22</v>
      </c>
      <c r="K1527" s="655">
        <v>2</v>
      </c>
      <c r="L1527" s="656" t="s">
        <v>52</v>
      </c>
      <c r="M1527" s="656" t="s">
        <v>448</v>
      </c>
      <c r="N1527" s="656" t="s">
        <v>449</v>
      </c>
      <c r="O1527" s="656" t="s">
        <v>449</v>
      </c>
      <c r="P1527" s="656" t="s">
        <v>1176</v>
      </c>
      <c r="Q1527" s="657">
        <v>0</v>
      </c>
      <c r="R1527" s="657">
        <v>0</v>
      </c>
      <c r="S1527" s="657">
        <v>42720</v>
      </c>
      <c r="T1527" s="657">
        <v>42720</v>
      </c>
      <c r="U1527" s="657">
        <v>4831</v>
      </c>
      <c r="V1527" s="655">
        <v>2021</v>
      </c>
      <c r="W1527" s="659"/>
      <c r="X1527" s="660">
        <f t="shared" si="71"/>
        <v>8.8428896708755946</v>
      </c>
      <c r="Y1527" s="661" t="str">
        <f t="shared" si="69"/>
        <v/>
      </c>
      <c r="Z1527" s="661" t="str">
        <f t="shared" si="70"/>
        <v/>
      </c>
    </row>
    <row r="1528" spans="1:26" s="128" customFormat="1" ht="25" hidden="1">
      <c r="A1528" s="655">
        <v>60495</v>
      </c>
      <c r="B1528" s="656" t="s">
        <v>33</v>
      </c>
      <c r="C1528" s="655" t="s">
        <v>2793</v>
      </c>
      <c r="D1528" s="656" t="s">
        <v>1992</v>
      </c>
      <c r="E1528" s="656" t="s">
        <v>1989</v>
      </c>
      <c r="F1528" s="655">
        <v>60281</v>
      </c>
      <c r="G1528" s="656" t="s">
        <v>131</v>
      </c>
      <c r="H1528" s="656" t="s">
        <v>1183</v>
      </c>
      <c r="I1528" s="656" t="s">
        <v>58</v>
      </c>
      <c r="J1528" s="655">
        <v>22</v>
      </c>
      <c r="K1528" s="655">
        <v>2</v>
      </c>
      <c r="L1528" s="656" t="s">
        <v>52</v>
      </c>
      <c r="M1528" s="656" t="s">
        <v>448</v>
      </c>
      <c r="N1528" s="656" t="s">
        <v>449</v>
      </c>
      <c r="O1528" s="656" t="s">
        <v>449</v>
      </c>
      <c r="P1528" s="656" t="s">
        <v>1176</v>
      </c>
      <c r="Q1528" s="657">
        <v>0</v>
      </c>
      <c r="R1528" s="657">
        <v>0</v>
      </c>
      <c r="S1528" s="657">
        <v>14801</v>
      </c>
      <c r="T1528" s="657">
        <v>14801</v>
      </c>
      <c r="U1528" s="657">
        <v>1674</v>
      </c>
      <c r="V1528" s="655">
        <v>2021</v>
      </c>
      <c r="W1528" s="659"/>
      <c r="X1528" s="660">
        <f t="shared" si="71"/>
        <v>8.8416965352449228</v>
      </c>
      <c r="Y1528" s="661" t="str">
        <f t="shared" si="69"/>
        <v/>
      </c>
      <c r="Z1528" s="661" t="str">
        <f t="shared" si="70"/>
        <v/>
      </c>
    </row>
    <row r="1529" spans="1:26" s="128" customFormat="1" ht="25">
      <c r="A1529" s="655">
        <v>60498</v>
      </c>
      <c r="B1529" s="656" t="s">
        <v>33</v>
      </c>
      <c r="C1529" s="655" t="s">
        <v>2793</v>
      </c>
      <c r="D1529" s="656" t="s">
        <v>1993</v>
      </c>
      <c r="E1529" s="656" t="s">
        <v>1989</v>
      </c>
      <c r="F1529" s="655">
        <v>60281</v>
      </c>
      <c r="G1529" s="656" t="s">
        <v>81</v>
      </c>
      <c r="H1529" s="656" t="s">
        <v>1183</v>
      </c>
      <c r="I1529" s="656" t="s">
        <v>58</v>
      </c>
      <c r="J1529" s="655">
        <v>22</v>
      </c>
      <c r="K1529" s="655">
        <v>2</v>
      </c>
      <c r="L1529" s="656" t="s">
        <v>52</v>
      </c>
      <c r="M1529" s="656" t="s">
        <v>448</v>
      </c>
      <c r="N1529" s="656" t="s">
        <v>449</v>
      </c>
      <c r="O1529" s="656" t="s">
        <v>449</v>
      </c>
      <c r="P1529" s="656" t="s">
        <v>1176</v>
      </c>
      <c r="Q1529" s="657">
        <v>0</v>
      </c>
      <c r="R1529" s="657">
        <v>0</v>
      </c>
      <c r="S1529" s="657">
        <v>26628</v>
      </c>
      <c r="T1529" s="657">
        <v>26628</v>
      </c>
      <c r="U1529" s="657">
        <v>3011</v>
      </c>
      <c r="V1529" s="655">
        <v>2021</v>
      </c>
      <c r="W1529" s="659"/>
      <c r="X1529" s="660">
        <f t="shared" si="71"/>
        <v>8.8435735636001329</v>
      </c>
      <c r="Y1529" s="661" t="str">
        <f t="shared" si="69"/>
        <v/>
      </c>
      <c r="Z1529" s="661" t="str">
        <f t="shared" si="70"/>
        <v/>
      </c>
    </row>
    <row r="1530" spans="1:26" s="128" customFormat="1" hidden="1">
      <c r="A1530" s="655">
        <v>60507</v>
      </c>
      <c r="B1530" s="656" t="s">
        <v>33</v>
      </c>
      <c r="C1530" s="655" t="s">
        <v>2793</v>
      </c>
      <c r="D1530" s="656" t="s">
        <v>2143</v>
      </c>
      <c r="E1530" s="656" t="s">
        <v>1922</v>
      </c>
      <c r="F1530" s="655">
        <v>60947</v>
      </c>
      <c r="G1530" s="656" t="s">
        <v>57</v>
      </c>
      <c r="H1530" s="656" t="s">
        <v>1182</v>
      </c>
      <c r="I1530" s="656" t="s">
        <v>58</v>
      </c>
      <c r="J1530" s="655">
        <v>22</v>
      </c>
      <c r="K1530" s="655">
        <v>2</v>
      </c>
      <c r="L1530" s="656" t="s">
        <v>52</v>
      </c>
      <c r="M1530" s="656" t="s">
        <v>448</v>
      </c>
      <c r="N1530" s="656" t="s">
        <v>449</v>
      </c>
      <c r="O1530" s="656" t="s">
        <v>449</v>
      </c>
      <c r="P1530" s="656" t="s">
        <v>1176</v>
      </c>
      <c r="Q1530" s="657">
        <v>0</v>
      </c>
      <c r="R1530" s="657">
        <v>0</v>
      </c>
      <c r="S1530" s="657">
        <v>51050</v>
      </c>
      <c r="T1530" s="657">
        <v>51050</v>
      </c>
      <c r="U1530" s="657">
        <v>5773</v>
      </c>
      <c r="V1530" s="655">
        <v>2021</v>
      </c>
      <c r="W1530" s="659"/>
      <c r="X1530" s="660">
        <f t="shared" si="71"/>
        <v>8.842889312315954</v>
      </c>
      <c r="Y1530" s="661" t="str">
        <f t="shared" si="69"/>
        <v/>
      </c>
      <c r="Z1530" s="661" t="str">
        <f t="shared" si="70"/>
        <v/>
      </c>
    </row>
    <row r="1531" spans="1:26" s="128" customFormat="1" ht="25" hidden="1">
      <c r="A1531" s="655">
        <v>60518</v>
      </c>
      <c r="B1531" s="656" t="s">
        <v>33</v>
      </c>
      <c r="C1531" s="655" t="s">
        <v>2793</v>
      </c>
      <c r="D1531" s="656" t="s">
        <v>2818</v>
      </c>
      <c r="E1531" s="656" t="s">
        <v>132</v>
      </c>
      <c r="F1531" s="655">
        <v>7601</v>
      </c>
      <c r="G1531" s="656" t="s">
        <v>89</v>
      </c>
      <c r="H1531" s="656" t="s">
        <v>1183</v>
      </c>
      <c r="I1531" s="656" t="s">
        <v>58</v>
      </c>
      <c r="J1531" s="655">
        <v>22</v>
      </c>
      <c r="K1531" s="655">
        <v>1</v>
      </c>
      <c r="L1531" s="656" t="s">
        <v>34</v>
      </c>
      <c r="M1531" s="656" t="s">
        <v>1890</v>
      </c>
      <c r="N1531" s="656" t="s">
        <v>1052</v>
      </c>
      <c r="O1531" s="656" t="s">
        <v>82</v>
      </c>
      <c r="P1531" s="656" t="s">
        <v>2794</v>
      </c>
      <c r="Q1531" s="657">
        <v>1</v>
      </c>
      <c r="R1531" s="657">
        <v>1</v>
      </c>
      <c r="S1531" s="657">
        <v>0</v>
      </c>
      <c r="T1531" s="657">
        <v>0</v>
      </c>
      <c r="U1531" s="657">
        <v>2</v>
      </c>
      <c r="V1531" s="655">
        <v>2021</v>
      </c>
      <c r="W1531" s="659"/>
      <c r="X1531" s="660" t="str">
        <f t="shared" si="71"/>
        <v/>
      </c>
      <c r="Y1531" s="661" t="str">
        <f t="shared" si="69"/>
        <v/>
      </c>
      <c r="Z1531" s="661" t="str">
        <f t="shared" si="70"/>
        <v/>
      </c>
    </row>
    <row r="1532" spans="1:26" s="128" customFormat="1" ht="25" hidden="1">
      <c r="A1532" s="655">
        <v>60518</v>
      </c>
      <c r="B1532" s="656" t="s">
        <v>33</v>
      </c>
      <c r="C1532" s="655" t="s">
        <v>2793</v>
      </c>
      <c r="D1532" s="656" t="s">
        <v>2818</v>
      </c>
      <c r="E1532" s="656" t="s">
        <v>132</v>
      </c>
      <c r="F1532" s="655">
        <v>7601</v>
      </c>
      <c r="G1532" s="656" t="s">
        <v>89</v>
      </c>
      <c r="H1532" s="656" t="s">
        <v>1183</v>
      </c>
      <c r="I1532" s="656" t="s">
        <v>58</v>
      </c>
      <c r="J1532" s="655">
        <v>22</v>
      </c>
      <c r="K1532" s="655">
        <v>1</v>
      </c>
      <c r="L1532" s="656" t="s">
        <v>34</v>
      </c>
      <c r="M1532" s="656" t="s">
        <v>448</v>
      </c>
      <c r="N1532" s="656" t="s">
        <v>449</v>
      </c>
      <c r="O1532" s="656" t="s">
        <v>449</v>
      </c>
      <c r="P1532" s="656" t="s">
        <v>1176</v>
      </c>
      <c r="Q1532" s="657">
        <v>0</v>
      </c>
      <c r="R1532" s="657">
        <v>0</v>
      </c>
      <c r="S1532" s="657">
        <v>14211</v>
      </c>
      <c r="T1532" s="657">
        <v>14211</v>
      </c>
      <c r="U1532" s="657">
        <v>1607</v>
      </c>
      <c r="V1532" s="655">
        <v>2021</v>
      </c>
      <c r="W1532" s="659"/>
      <c r="X1532" s="660">
        <f t="shared" si="71"/>
        <v>8.8431860609831983</v>
      </c>
      <c r="Y1532" s="661" t="str">
        <f t="shared" si="69"/>
        <v/>
      </c>
      <c r="Z1532" s="661" t="str">
        <f t="shared" si="70"/>
        <v/>
      </c>
    </row>
    <row r="1533" spans="1:26" s="128" customFormat="1" hidden="1">
      <c r="A1533" s="655">
        <v>60537</v>
      </c>
      <c r="B1533" s="656" t="s">
        <v>33</v>
      </c>
      <c r="C1533" s="655" t="s">
        <v>2793</v>
      </c>
      <c r="D1533" s="656" t="s">
        <v>1994</v>
      </c>
      <c r="E1533" s="656" t="s">
        <v>1995</v>
      </c>
      <c r="F1533" s="655">
        <v>60297</v>
      </c>
      <c r="G1533" s="656" t="s">
        <v>89</v>
      </c>
      <c r="H1533" s="656" t="s">
        <v>1183</v>
      </c>
      <c r="I1533" s="656" t="s">
        <v>58</v>
      </c>
      <c r="J1533" s="655">
        <v>22</v>
      </c>
      <c r="K1533" s="655">
        <v>2</v>
      </c>
      <c r="L1533" s="656" t="s">
        <v>52</v>
      </c>
      <c r="M1533" s="656" t="s">
        <v>448</v>
      </c>
      <c r="N1533" s="656" t="s">
        <v>449</v>
      </c>
      <c r="O1533" s="656" t="s">
        <v>449</v>
      </c>
      <c r="P1533" s="656" t="s">
        <v>1176</v>
      </c>
      <c r="Q1533" s="657">
        <v>0</v>
      </c>
      <c r="R1533" s="657">
        <v>0</v>
      </c>
      <c r="S1533" s="657">
        <v>28679</v>
      </c>
      <c r="T1533" s="657">
        <v>28679</v>
      </c>
      <c r="U1533" s="657">
        <v>3243</v>
      </c>
      <c r="V1533" s="655">
        <v>2021</v>
      </c>
      <c r="W1533" s="659"/>
      <c r="X1533" s="660">
        <f t="shared" si="71"/>
        <v>8.843354918285538</v>
      </c>
      <c r="Y1533" s="661" t="str">
        <f t="shared" si="69"/>
        <v/>
      </c>
      <c r="Z1533" s="661" t="str">
        <f t="shared" si="70"/>
        <v/>
      </c>
    </row>
    <row r="1534" spans="1:26" s="128" customFormat="1" ht="25" hidden="1">
      <c r="A1534" s="655">
        <v>60542</v>
      </c>
      <c r="B1534" s="656" t="s">
        <v>33</v>
      </c>
      <c r="C1534" s="655" t="s">
        <v>2793</v>
      </c>
      <c r="D1534" s="656" t="s">
        <v>1996</v>
      </c>
      <c r="E1534" s="656" t="s">
        <v>1997</v>
      </c>
      <c r="F1534" s="655">
        <v>60301</v>
      </c>
      <c r="G1534" s="656" t="s">
        <v>89</v>
      </c>
      <c r="H1534" s="656" t="s">
        <v>1183</v>
      </c>
      <c r="I1534" s="656" t="s">
        <v>58</v>
      </c>
      <c r="J1534" s="655">
        <v>22</v>
      </c>
      <c r="K1534" s="655">
        <v>2</v>
      </c>
      <c r="L1534" s="656" t="s">
        <v>52</v>
      </c>
      <c r="M1534" s="656" t="s">
        <v>448</v>
      </c>
      <c r="N1534" s="656" t="s">
        <v>449</v>
      </c>
      <c r="O1534" s="656" t="s">
        <v>449</v>
      </c>
      <c r="P1534" s="656" t="s">
        <v>1176</v>
      </c>
      <c r="Q1534" s="657">
        <v>0</v>
      </c>
      <c r="R1534" s="657">
        <v>0</v>
      </c>
      <c r="S1534" s="657">
        <v>7799</v>
      </c>
      <c r="T1534" s="657">
        <v>7799</v>
      </c>
      <c r="U1534" s="657">
        <v>882</v>
      </c>
      <c r="V1534" s="655">
        <v>2021</v>
      </c>
      <c r="W1534" s="659"/>
      <c r="X1534" s="660">
        <f t="shared" si="71"/>
        <v>8.8424036281179141</v>
      </c>
      <c r="Y1534" s="661" t="str">
        <f t="shared" si="69"/>
        <v/>
      </c>
      <c r="Z1534" s="661" t="str">
        <f t="shared" si="70"/>
        <v/>
      </c>
    </row>
    <row r="1535" spans="1:26" s="128" customFormat="1" ht="25" hidden="1">
      <c r="A1535" s="655">
        <v>60547</v>
      </c>
      <c r="B1535" s="656" t="s">
        <v>33</v>
      </c>
      <c r="C1535" s="655" t="s">
        <v>2793</v>
      </c>
      <c r="D1535" s="656" t="s">
        <v>1998</v>
      </c>
      <c r="E1535" s="656" t="s">
        <v>132</v>
      </c>
      <c r="F1535" s="655">
        <v>7601</v>
      </c>
      <c r="G1535" s="656" t="s">
        <v>89</v>
      </c>
      <c r="H1535" s="656" t="s">
        <v>1183</v>
      </c>
      <c r="I1535" s="656" t="s">
        <v>58</v>
      </c>
      <c r="J1535" s="655">
        <v>22</v>
      </c>
      <c r="K1535" s="655">
        <v>1</v>
      </c>
      <c r="L1535" s="656" t="s">
        <v>34</v>
      </c>
      <c r="M1535" s="656" t="s">
        <v>448</v>
      </c>
      <c r="N1535" s="656" t="s">
        <v>449</v>
      </c>
      <c r="O1535" s="656" t="s">
        <v>449</v>
      </c>
      <c r="P1535" s="656" t="s">
        <v>1176</v>
      </c>
      <c r="Q1535" s="657">
        <v>0</v>
      </c>
      <c r="R1535" s="657">
        <v>0</v>
      </c>
      <c r="S1535" s="657">
        <v>24938</v>
      </c>
      <c r="T1535" s="657">
        <v>24938</v>
      </c>
      <c r="U1535" s="657">
        <v>2820</v>
      </c>
      <c r="V1535" s="655">
        <v>2021</v>
      </c>
      <c r="W1535" s="659"/>
      <c r="X1535" s="660">
        <f t="shared" si="71"/>
        <v>8.8432624113475171</v>
      </c>
      <c r="Y1535" s="661" t="str">
        <f t="shared" si="69"/>
        <v/>
      </c>
      <c r="Z1535" s="661" t="str">
        <f t="shared" si="70"/>
        <v/>
      </c>
    </row>
    <row r="1536" spans="1:26" s="128" customFormat="1" ht="25" hidden="1">
      <c r="A1536" s="655">
        <v>60562</v>
      </c>
      <c r="B1536" s="656" t="s">
        <v>33</v>
      </c>
      <c r="C1536" s="655" t="s">
        <v>2793</v>
      </c>
      <c r="D1536" s="656" t="s">
        <v>2819</v>
      </c>
      <c r="E1536" s="656" t="s">
        <v>132</v>
      </c>
      <c r="F1536" s="655">
        <v>7601</v>
      </c>
      <c r="G1536" s="656" t="s">
        <v>89</v>
      </c>
      <c r="H1536" s="656" t="s">
        <v>1183</v>
      </c>
      <c r="I1536" s="656" t="s">
        <v>58</v>
      </c>
      <c r="J1536" s="655">
        <v>22</v>
      </c>
      <c r="K1536" s="655">
        <v>1</v>
      </c>
      <c r="L1536" s="656" t="s">
        <v>34</v>
      </c>
      <c r="M1536" s="656" t="s">
        <v>1890</v>
      </c>
      <c r="N1536" s="656" t="s">
        <v>1052</v>
      </c>
      <c r="O1536" s="656" t="s">
        <v>82</v>
      </c>
      <c r="P1536" s="656" t="s">
        <v>2794</v>
      </c>
      <c r="Q1536" s="657">
        <v>598</v>
      </c>
      <c r="R1536" s="657">
        <v>598</v>
      </c>
      <c r="S1536" s="657">
        <v>0</v>
      </c>
      <c r="T1536" s="657">
        <v>0</v>
      </c>
      <c r="U1536" s="657">
        <v>172</v>
      </c>
      <c r="V1536" s="655">
        <v>2021</v>
      </c>
      <c r="W1536" s="659"/>
      <c r="X1536" s="660" t="str">
        <f t="shared" si="71"/>
        <v/>
      </c>
      <c r="Y1536" s="661" t="str">
        <f t="shared" si="69"/>
        <v/>
      </c>
      <c r="Z1536" s="661" t="str">
        <f t="shared" si="70"/>
        <v/>
      </c>
    </row>
    <row r="1537" spans="1:26" s="128" customFormat="1" ht="25" hidden="1">
      <c r="A1537" s="655">
        <v>60562</v>
      </c>
      <c r="B1537" s="656" t="s">
        <v>33</v>
      </c>
      <c r="C1537" s="655" t="s">
        <v>2793</v>
      </c>
      <c r="D1537" s="656" t="s">
        <v>2819</v>
      </c>
      <c r="E1537" s="656" t="s">
        <v>132</v>
      </c>
      <c r="F1537" s="655">
        <v>7601</v>
      </c>
      <c r="G1537" s="656" t="s">
        <v>89</v>
      </c>
      <c r="H1537" s="656" t="s">
        <v>1183</v>
      </c>
      <c r="I1537" s="656" t="s">
        <v>58</v>
      </c>
      <c r="J1537" s="655">
        <v>22</v>
      </c>
      <c r="K1537" s="655">
        <v>1</v>
      </c>
      <c r="L1537" s="656" t="s">
        <v>34</v>
      </c>
      <c r="M1537" s="656" t="s">
        <v>448</v>
      </c>
      <c r="N1537" s="656" t="s">
        <v>449</v>
      </c>
      <c r="O1537" s="656" t="s">
        <v>449</v>
      </c>
      <c r="P1537" s="656" t="s">
        <v>1176</v>
      </c>
      <c r="Q1537" s="657">
        <v>0</v>
      </c>
      <c r="R1537" s="657">
        <v>0</v>
      </c>
      <c r="S1537" s="657">
        <v>69541</v>
      </c>
      <c r="T1537" s="657">
        <v>69541</v>
      </c>
      <c r="U1537" s="657">
        <v>7864</v>
      </c>
      <c r="V1537" s="655">
        <v>2021</v>
      </c>
      <c r="W1537" s="659"/>
      <c r="X1537" s="660">
        <f t="shared" si="71"/>
        <v>8.8429552390640893</v>
      </c>
      <c r="Y1537" s="661" t="str">
        <f t="shared" si="69"/>
        <v/>
      </c>
      <c r="Z1537" s="661" t="str">
        <f t="shared" si="70"/>
        <v/>
      </c>
    </row>
    <row r="1538" spans="1:26" s="128" customFormat="1" hidden="1">
      <c r="A1538" s="655">
        <v>60593</v>
      </c>
      <c r="B1538" s="656" t="s">
        <v>33</v>
      </c>
      <c r="C1538" s="655" t="s">
        <v>2793</v>
      </c>
      <c r="D1538" s="656" t="s">
        <v>1999</v>
      </c>
      <c r="E1538" s="656" t="s">
        <v>1873</v>
      </c>
      <c r="F1538" s="655">
        <v>19497</v>
      </c>
      <c r="G1538" s="656" t="s">
        <v>41</v>
      </c>
      <c r="H1538" s="656" t="s">
        <v>1183</v>
      </c>
      <c r="I1538" s="656" t="s">
        <v>58</v>
      </c>
      <c r="J1538" s="655">
        <v>22</v>
      </c>
      <c r="K1538" s="655">
        <v>1</v>
      </c>
      <c r="L1538" s="656" t="s">
        <v>34</v>
      </c>
      <c r="M1538" s="656" t="s">
        <v>1255</v>
      </c>
      <c r="N1538" s="656" t="s">
        <v>39</v>
      </c>
      <c r="O1538" s="656" t="s">
        <v>39</v>
      </c>
      <c r="P1538" s="656" t="s">
        <v>1037</v>
      </c>
      <c r="Q1538" s="657">
        <v>166365</v>
      </c>
      <c r="R1538" s="657">
        <v>166365</v>
      </c>
      <c r="S1538" s="657">
        <v>172021</v>
      </c>
      <c r="T1538" s="657">
        <v>172021</v>
      </c>
      <c r="U1538" s="657">
        <v>17511</v>
      </c>
      <c r="V1538" s="655">
        <v>2021</v>
      </c>
      <c r="W1538" s="659"/>
      <c r="X1538" s="660">
        <f t="shared" si="71"/>
        <v>9.8235965964251051</v>
      </c>
      <c r="Y1538" s="661" t="str">
        <f t="shared" si="69"/>
        <v/>
      </c>
      <c r="Z1538" s="661" t="str">
        <f t="shared" si="70"/>
        <v/>
      </c>
    </row>
    <row r="1539" spans="1:26" s="128" customFormat="1" hidden="1">
      <c r="A1539" s="655">
        <v>60605</v>
      </c>
      <c r="B1539" s="656" t="s">
        <v>33</v>
      </c>
      <c r="C1539" s="655" t="s">
        <v>2793</v>
      </c>
      <c r="D1539" s="656" t="s">
        <v>2000</v>
      </c>
      <c r="E1539" s="656" t="s">
        <v>1922</v>
      </c>
      <c r="F1539" s="655">
        <v>60947</v>
      </c>
      <c r="G1539" s="656" t="s">
        <v>41</v>
      </c>
      <c r="H1539" s="656" t="s">
        <v>1183</v>
      </c>
      <c r="I1539" s="656" t="s">
        <v>58</v>
      </c>
      <c r="J1539" s="655">
        <v>22</v>
      </c>
      <c r="K1539" s="655">
        <v>2</v>
      </c>
      <c r="L1539" s="656" t="s">
        <v>52</v>
      </c>
      <c r="M1539" s="656" t="s">
        <v>448</v>
      </c>
      <c r="N1539" s="656" t="s">
        <v>449</v>
      </c>
      <c r="O1539" s="656" t="s">
        <v>449</v>
      </c>
      <c r="P1539" s="656" t="s">
        <v>1176</v>
      </c>
      <c r="Q1539" s="657">
        <v>0</v>
      </c>
      <c r="R1539" s="657">
        <v>0</v>
      </c>
      <c r="S1539" s="657">
        <v>15900</v>
      </c>
      <c r="T1539" s="657">
        <v>15900</v>
      </c>
      <c r="U1539" s="657">
        <v>1798</v>
      </c>
      <c r="V1539" s="655">
        <v>2021</v>
      </c>
      <c r="W1539" s="659"/>
      <c r="X1539" s="660">
        <f t="shared" si="71"/>
        <v>8.8431590656284769</v>
      </c>
      <c r="Y1539" s="661" t="str">
        <f t="shared" si="69"/>
        <v/>
      </c>
      <c r="Z1539" s="661" t="str">
        <f t="shared" si="70"/>
        <v/>
      </c>
    </row>
    <row r="1540" spans="1:26" s="128" customFormat="1" ht="25" hidden="1">
      <c r="A1540" s="655">
        <v>60607</v>
      </c>
      <c r="B1540" s="656" t="s">
        <v>33</v>
      </c>
      <c r="C1540" s="655" t="s">
        <v>2793</v>
      </c>
      <c r="D1540" s="656" t="s">
        <v>2820</v>
      </c>
      <c r="E1540" s="656" t="s">
        <v>1922</v>
      </c>
      <c r="F1540" s="655">
        <v>60947</v>
      </c>
      <c r="G1540" s="656" t="s">
        <v>41</v>
      </c>
      <c r="H1540" s="656" t="s">
        <v>1183</v>
      </c>
      <c r="I1540" s="656" t="s">
        <v>58</v>
      </c>
      <c r="J1540" s="655">
        <v>22</v>
      </c>
      <c r="K1540" s="655">
        <v>2</v>
      </c>
      <c r="L1540" s="656" t="s">
        <v>52</v>
      </c>
      <c r="M1540" s="656" t="s">
        <v>1890</v>
      </c>
      <c r="N1540" s="656" t="s">
        <v>1052</v>
      </c>
      <c r="O1540" s="656" t="s">
        <v>82</v>
      </c>
      <c r="P1540" s="656" t="s">
        <v>2794</v>
      </c>
      <c r="Q1540" s="657">
        <v>98</v>
      </c>
      <c r="R1540" s="657">
        <v>98</v>
      </c>
      <c r="S1540" s="657">
        <v>0</v>
      </c>
      <c r="T1540" s="657">
        <v>0</v>
      </c>
      <c r="U1540" s="657">
        <v>-31</v>
      </c>
      <c r="V1540" s="655">
        <v>2021</v>
      </c>
      <c r="W1540" s="659"/>
      <c r="X1540" s="660" t="str">
        <f t="shared" si="71"/>
        <v/>
      </c>
      <c r="Y1540" s="661" t="str">
        <f t="shared" si="69"/>
        <v/>
      </c>
      <c r="Z1540" s="661" t="str">
        <f t="shared" si="70"/>
        <v/>
      </c>
    </row>
    <row r="1541" spans="1:26" s="128" customFormat="1" ht="25" hidden="1">
      <c r="A1541" s="655">
        <v>60607</v>
      </c>
      <c r="B1541" s="656" t="s">
        <v>33</v>
      </c>
      <c r="C1541" s="655" t="s">
        <v>2793</v>
      </c>
      <c r="D1541" s="656" t="s">
        <v>2820</v>
      </c>
      <c r="E1541" s="656" t="s">
        <v>1922</v>
      </c>
      <c r="F1541" s="655">
        <v>60947</v>
      </c>
      <c r="G1541" s="656" t="s">
        <v>41</v>
      </c>
      <c r="H1541" s="656" t="s">
        <v>1183</v>
      </c>
      <c r="I1541" s="656" t="s">
        <v>58</v>
      </c>
      <c r="J1541" s="655">
        <v>22</v>
      </c>
      <c r="K1541" s="655">
        <v>2</v>
      </c>
      <c r="L1541" s="656" t="s">
        <v>52</v>
      </c>
      <c r="M1541" s="656" t="s">
        <v>448</v>
      </c>
      <c r="N1541" s="656" t="s">
        <v>449</v>
      </c>
      <c r="O1541" s="656" t="s">
        <v>449</v>
      </c>
      <c r="P1541" s="656" t="s">
        <v>1176</v>
      </c>
      <c r="Q1541" s="657">
        <v>0</v>
      </c>
      <c r="R1541" s="657">
        <v>0</v>
      </c>
      <c r="S1541" s="657">
        <v>36096</v>
      </c>
      <c r="T1541" s="657">
        <v>36096</v>
      </c>
      <c r="U1541" s="657">
        <v>4082</v>
      </c>
      <c r="V1541" s="655">
        <v>2021</v>
      </c>
      <c r="W1541" s="659"/>
      <c r="X1541" s="660">
        <f t="shared" si="71"/>
        <v>8.8427241548260653</v>
      </c>
      <c r="Y1541" s="661" t="str">
        <f t="shared" si="69"/>
        <v/>
      </c>
      <c r="Z1541" s="661" t="str">
        <f t="shared" si="70"/>
        <v/>
      </c>
    </row>
    <row r="1542" spans="1:26" s="128" customFormat="1" hidden="1">
      <c r="A1542" s="655">
        <v>60608</v>
      </c>
      <c r="B1542" s="656" t="s">
        <v>33</v>
      </c>
      <c r="C1542" s="655" t="s">
        <v>2793</v>
      </c>
      <c r="D1542" s="656" t="s">
        <v>2144</v>
      </c>
      <c r="E1542" s="656" t="s">
        <v>1922</v>
      </c>
      <c r="F1542" s="655">
        <v>60947</v>
      </c>
      <c r="G1542" s="656" t="s">
        <v>41</v>
      </c>
      <c r="H1542" s="656" t="s">
        <v>1183</v>
      </c>
      <c r="I1542" s="656" t="s">
        <v>58</v>
      </c>
      <c r="J1542" s="655">
        <v>22</v>
      </c>
      <c r="K1542" s="655">
        <v>2</v>
      </c>
      <c r="L1542" s="656" t="s">
        <v>52</v>
      </c>
      <c r="M1542" s="656" t="s">
        <v>448</v>
      </c>
      <c r="N1542" s="656" t="s">
        <v>449</v>
      </c>
      <c r="O1542" s="656" t="s">
        <v>449</v>
      </c>
      <c r="P1542" s="656" t="s">
        <v>1176</v>
      </c>
      <c r="Q1542" s="657">
        <v>0</v>
      </c>
      <c r="R1542" s="657">
        <v>0</v>
      </c>
      <c r="S1542" s="657">
        <v>12063</v>
      </c>
      <c r="T1542" s="657">
        <v>12063</v>
      </c>
      <c r="U1542" s="657">
        <v>1364</v>
      </c>
      <c r="V1542" s="655">
        <v>2021</v>
      </c>
      <c r="W1542" s="659"/>
      <c r="X1542" s="660">
        <f t="shared" si="71"/>
        <v>8.8438416422287389</v>
      </c>
      <c r="Y1542" s="661" t="str">
        <f t="shared" si="69"/>
        <v/>
      </c>
      <c r="Z1542" s="661" t="str">
        <f t="shared" si="70"/>
        <v/>
      </c>
    </row>
    <row r="1543" spans="1:26" s="128" customFormat="1" ht="25" hidden="1">
      <c r="A1543" s="655">
        <v>60609</v>
      </c>
      <c r="B1543" s="656" t="s">
        <v>33</v>
      </c>
      <c r="C1543" s="655" t="s">
        <v>2793</v>
      </c>
      <c r="D1543" s="656" t="s">
        <v>2821</v>
      </c>
      <c r="E1543" s="656" t="s">
        <v>1922</v>
      </c>
      <c r="F1543" s="655">
        <v>60947</v>
      </c>
      <c r="G1543" s="656" t="s">
        <v>41</v>
      </c>
      <c r="H1543" s="656" t="s">
        <v>1183</v>
      </c>
      <c r="I1543" s="656" t="s">
        <v>58</v>
      </c>
      <c r="J1543" s="655">
        <v>22</v>
      </c>
      <c r="K1543" s="655">
        <v>2</v>
      </c>
      <c r="L1543" s="656" t="s">
        <v>52</v>
      </c>
      <c r="M1543" s="656" t="s">
        <v>1890</v>
      </c>
      <c r="N1543" s="656" t="s">
        <v>1052</v>
      </c>
      <c r="O1543" s="656" t="s">
        <v>82</v>
      </c>
      <c r="P1543" s="656" t="s">
        <v>2794</v>
      </c>
      <c r="Q1543" s="657">
        <v>141</v>
      </c>
      <c r="R1543" s="657">
        <v>141</v>
      </c>
      <c r="S1543" s="657">
        <v>0</v>
      </c>
      <c r="T1543" s="657">
        <v>0</v>
      </c>
      <c r="U1543" s="657">
        <v>-39</v>
      </c>
      <c r="V1543" s="655">
        <v>2021</v>
      </c>
      <c r="W1543" s="659"/>
      <c r="X1543" s="660" t="str">
        <f t="shared" si="71"/>
        <v/>
      </c>
      <c r="Y1543" s="661" t="str">
        <f t="shared" ref="Y1543:Y1606" si="72">IF(AND($M1543=$Y$2,$N1543=$Y$3,NOT($Q1543=$R1543),NOT($U1543=0)),IF($K1543=5,$S1543/($U1543+(8/5)*$U1543),IF($K1543=7,$S1543/($U1543+(29/25)*$U1543),"")),"")</f>
        <v/>
      </c>
      <c r="Z1543" s="661" t="str">
        <f t="shared" ref="Z1543:Z1606" si="73">IF(AND($M1543=$Y$2,$N1543=$Y$4,NOT($Q1543=$R1543),NOT($U1543=0)),IF($K1543=5,$S1543/($U1543+(8/5)*$U1543),IF($K1543=7,$S1543/($U1543+(29/25)*$U1543),"")),"")</f>
        <v/>
      </c>
    </row>
    <row r="1544" spans="1:26" s="128" customFormat="1" ht="25" hidden="1">
      <c r="A1544" s="655">
        <v>60609</v>
      </c>
      <c r="B1544" s="656" t="s">
        <v>33</v>
      </c>
      <c r="C1544" s="655" t="s">
        <v>2793</v>
      </c>
      <c r="D1544" s="656" t="s">
        <v>2821</v>
      </c>
      <c r="E1544" s="656" t="s">
        <v>1922</v>
      </c>
      <c r="F1544" s="655">
        <v>60947</v>
      </c>
      <c r="G1544" s="656" t="s">
        <v>41</v>
      </c>
      <c r="H1544" s="656" t="s">
        <v>1183</v>
      </c>
      <c r="I1544" s="656" t="s">
        <v>58</v>
      </c>
      <c r="J1544" s="655">
        <v>22</v>
      </c>
      <c r="K1544" s="655">
        <v>2</v>
      </c>
      <c r="L1544" s="656" t="s">
        <v>52</v>
      </c>
      <c r="M1544" s="656" t="s">
        <v>448</v>
      </c>
      <c r="N1544" s="656" t="s">
        <v>449</v>
      </c>
      <c r="O1544" s="656" t="s">
        <v>449</v>
      </c>
      <c r="P1544" s="656" t="s">
        <v>1176</v>
      </c>
      <c r="Q1544" s="657">
        <v>0</v>
      </c>
      <c r="R1544" s="657">
        <v>0</v>
      </c>
      <c r="S1544" s="657">
        <v>65889</v>
      </c>
      <c r="T1544" s="657">
        <v>65889</v>
      </c>
      <c r="U1544" s="657">
        <v>7451</v>
      </c>
      <c r="V1544" s="655">
        <v>2021</v>
      </c>
      <c r="W1544" s="659"/>
      <c r="X1544" s="660">
        <f t="shared" ref="X1544:X1607" si="74">IF(OR(K1544&gt;3,T1544=0,NOT(U1544&gt;0)),"",T1544/U1544)</f>
        <v>8.8429740974365849</v>
      </c>
      <c r="Y1544" s="661" t="str">
        <f t="shared" si="72"/>
        <v/>
      </c>
      <c r="Z1544" s="661" t="str">
        <f t="shared" si="73"/>
        <v/>
      </c>
    </row>
    <row r="1545" spans="1:26" s="128" customFormat="1">
      <c r="A1545" s="655">
        <v>60612</v>
      </c>
      <c r="B1545" s="656" t="s">
        <v>33</v>
      </c>
      <c r="C1545" s="655" t="s">
        <v>2793</v>
      </c>
      <c r="D1545" s="656" t="s">
        <v>2001</v>
      </c>
      <c r="E1545" s="656" t="s">
        <v>3134</v>
      </c>
      <c r="F1545" s="655">
        <v>63621</v>
      </c>
      <c r="G1545" s="656" t="s">
        <v>81</v>
      </c>
      <c r="H1545" s="656" t="s">
        <v>1183</v>
      </c>
      <c r="I1545" s="656" t="s">
        <v>58</v>
      </c>
      <c r="J1545" s="655">
        <v>22</v>
      </c>
      <c r="K1545" s="655">
        <v>2</v>
      </c>
      <c r="L1545" s="656" t="s">
        <v>52</v>
      </c>
      <c r="M1545" s="656" t="s">
        <v>448</v>
      </c>
      <c r="N1545" s="656" t="s">
        <v>449</v>
      </c>
      <c r="O1545" s="656" t="s">
        <v>449</v>
      </c>
      <c r="P1545" s="656" t="s">
        <v>1176</v>
      </c>
      <c r="Q1545" s="657">
        <v>0</v>
      </c>
      <c r="R1545" s="657">
        <v>0</v>
      </c>
      <c r="S1545" s="657">
        <v>56285</v>
      </c>
      <c r="T1545" s="657">
        <v>56285</v>
      </c>
      <c r="U1545" s="657">
        <v>6365</v>
      </c>
      <c r="V1545" s="655">
        <v>2021</v>
      </c>
      <c r="W1545" s="659"/>
      <c r="X1545" s="660">
        <f t="shared" si="74"/>
        <v>8.8428908091123333</v>
      </c>
      <c r="Y1545" s="661" t="str">
        <f t="shared" si="72"/>
        <v/>
      </c>
      <c r="Z1545" s="661" t="str">
        <f t="shared" si="73"/>
        <v/>
      </c>
    </row>
    <row r="1546" spans="1:26" s="128" customFormat="1">
      <c r="A1546" s="655">
        <v>60613</v>
      </c>
      <c r="B1546" s="656" t="s">
        <v>33</v>
      </c>
      <c r="C1546" s="655" t="s">
        <v>2793</v>
      </c>
      <c r="D1546" s="656" t="s">
        <v>2002</v>
      </c>
      <c r="E1546" s="656" t="s">
        <v>3134</v>
      </c>
      <c r="F1546" s="655">
        <v>63621</v>
      </c>
      <c r="G1546" s="656" t="s">
        <v>81</v>
      </c>
      <c r="H1546" s="656" t="s">
        <v>1183</v>
      </c>
      <c r="I1546" s="656" t="s">
        <v>58</v>
      </c>
      <c r="J1546" s="655">
        <v>22</v>
      </c>
      <c r="K1546" s="655">
        <v>2</v>
      </c>
      <c r="L1546" s="656" t="s">
        <v>52</v>
      </c>
      <c r="M1546" s="656" t="s">
        <v>448</v>
      </c>
      <c r="N1546" s="656" t="s">
        <v>449</v>
      </c>
      <c r="O1546" s="656" t="s">
        <v>449</v>
      </c>
      <c r="P1546" s="656" t="s">
        <v>1176</v>
      </c>
      <c r="Q1546" s="657">
        <v>0</v>
      </c>
      <c r="R1546" s="657">
        <v>0</v>
      </c>
      <c r="S1546" s="657">
        <v>27492</v>
      </c>
      <c r="T1546" s="657">
        <v>27492</v>
      </c>
      <c r="U1546" s="657">
        <v>3109</v>
      </c>
      <c r="V1546" s="655">
        <v>2021</v>
      </c>
      <c r="W1546" s="659"/>
      <c r="X1546" s="660">
        <f t="shared" si="74"/>
        <v>8.8427146992602115</v>
      </c>
      <c r="Y1546" s="661" t="str">
        <f t="shared" si="72"/>
        <v/>
      </c>
      <c r="Z1546" s="661" t="str">
        <f t="shared" si="73"/>
        <v/>
      </c>
    </row>
    <row r="1547" spans="1:26" s="128" customFormat="1">
      <c r="A1547" s="655">
        <v>60614</v>
      </c>
      <c r="B1547" s="656" t="s">
        <v>33</v>
      </c>
      <c r="C1547" s="655" t="s">
        <v>2793</v>
      </c>
      <c r="D1547" s="656" t="s">
        <v>2003</v>
      </c>
      <c r="E1547" s="656" t="s">
        <v>3134</v>
      </c>
      <c r="F1547" s="655">
        <v>63621</v>
      </c>
      <c r="G1547" s="656" t="s">
        <v>81</v>
      </c>
      <c r="H1547" s="656" t="s">
        <v>1183</v>
      </c>
      <c r="I1547" s="656" t="s">
        <v>58</v>
      </c>
      <c r="J1547" s="655">
        <v>22</v>
      </c>
      <c r="K1547" s="655">
        <v>2</v>
      </c>
      <c r="L1547" s="656" t="s">
        <v>52</v>
      </c>
      <c r="M1547" s="656" t="s">
        <v>448</v>
      </c>
      <c r="N1547" s="656" t="s">
        <v>449</v>
      </c>
      <c r="O1547" s="656" t="s">
        <v>449</v>
      </c>
      <c r="P1547" s="656" t="s">
        <v>1176</v>
      </c>
      <c r="Q1547" s="657">
        <v>0</v>
      </c>
      <c r="R1547" s="657">
        <v>0</v>
      </c>
      <c r="S1547" s="657">
        <v>13104</v>
      </c>
      <c r="T1547" s="657">
        <v>13104</v>
      </c>
      <c r="U1547" s="657">
        <v>1482</v>
      </c>
      <c r="V1547" s="655">
        <v>2021</v>
      </c>
      <c r="W1547" s="659"/>
      <c r="X1547" s="660">
        <f t="shared" si="74"/>
        <v>8.8421052631578956</v>
      </c>
      <c r="Y1547" s="661" t="str">
        <f t="shared" si="72"/>
        <v/>
      </c>
      <c r="Z1547" s="661" t="str">
        <f t="shared" si="73"/>
        <v/>
      </c>
    </row>
    <row r="1548" spans="1:26" s="128" customFormat="1" ht="25">
      <c r="A1548" s="655">
        <v>60615</v>
      </c>
      <c r="B1548" s="656" t="s">
        <v>33</v>
      </c>
      <c r="C1548" s="655" t="s">
        <v>2793</v>
      </c>
      <c r="D1548" s="656" t="s">
        <v>2004</v>
      </c>
      <c r="E1548" s="656" t="s">
        <v>3137</v>
      </c>
      <c r="F1548" s="655">
        <v>60809</v>
      </c>
      <c r="G1548" s="656" t="s">
        <v>81</v>
      </c>
      <c r="H1548" s="656" t="s">
        <v>1183</v>
      </c>
      <c r="I1548" s="656" t="s">
        <v>58</v>
      </c>
      <c r="J1548" s="655">
        <v>22</v>
      </c>
      <c r="K1548" s="655">
        <v>2</v>
      </c>
      <c r="L1548" s="656" t="s">
        <v>52</v>
      </c>
      <c r="M1548" s="656" t="s">
        <v>448</v>
      </c>
      <c r="N1548" s="656" t="s">
        <v>449</v>
      </c>
      <c r="O1548" s="656" t="s">
        <v>449</v>
      </c>
      <c r="P1548" s="656" t="s">
        <v>1176</v>
      </c>
      <c r="Q1548" s="657">
        <v>0</v>
      </c>
      <c r="R1548" s="657">
        <v>0</v>
      </c>
      <c r="S1548" s="657">
        <v>37238</v>
      </c>
      <c r="T1548" s="657">
        <v>37238</v>
      </c>
      <c r="U1548" s="657">
        <v>4211</v>
      </c>
      <c r="V1548" s="655">
        <v>2021</v>
      </c>
      <c r="W1548" s="659"/>
      <c r="X1548" s="660">
        <f t="shared" si="74"/>
        <v>8.8430301591070997</v>
      </c>
      <c r="Y1548" s="661" t="str">
        <f t="shared" si="72"/>
        <v/>
      </c>
      <c r="Z1548" s="661" t="str">
        <f t="shared" si="73"/>
        <v/>
      </c>
    </row>
    <row r="1549" spans="1:26" s="128" customFormat="1">
      <c r="A1549" s="655">
        <v>60621</v>
      </c>
      <c r="B1549" s="656" t="s">
        <v>33</v>
      </c>
      <c r="C1549" s="655" t="s">
        <v>2793</v>
      </c>
      <c r="D1549" s="656" t="s">
        <v>2145</v>
      </c>
      <c r="E1549" s="656" t="s">
        <v>2146</v>
      </c>
      <c r="F1549" s="655">
        <v>60369</v>
      </c>
      <c r="G1549" s="656" t="s">
        <v>81</v>
      </c>
      <c r="H1549" s="656" t="s">
        <v>1183</v>
      </c>
      <c r="I1549" s="656" t="s">
        <v>58</v>
      </c>
      <c r="J1549" s="655">
        <v>22</v>
      </c>
      <c r="K1549" s="655">
        <v>2</v>
      </c>
      <c r="L1549" s="656" t="s">
        <v>52</v>
      </c>
      <c r="M1549" s="656" t="s">
        <v>448</v>
      </c>
      <c r="N1549" s="656" t="s">
        <v>449</v>
      </c>
      <c r="O1549" s="656" t="s">
        <v>449</v>
      </c>
      <c r="P1549" s="656" t="s">
        <v>1176</v>
      </c>
      <c r="Q1549" s="657">
        <v>0</v>
      </c>
      <c r="R1549" s="657">
        <v>0</v>
      </c>
      <c r="S1549" s="657">
        <v>55162</v>
      </c>
      <c r="T1549" s="657">
        <v>55162</v>
      </c>
      <c r="U1549" s="657">
        <v>6238</v>
      </c>
      <c r="V1549" s="655">
        <v>2021</v>
      </c>
      <c r="W1549" s="659"/>
      <c r="X1549" s="660">
        <f t="shared" si="74"/>
        <v>8.8428983648605328</v>
      </c>
      <c r="Y1549" s="661" t="str">
        <f t="shared" si="72"/>
        <v/>
      </c>
      <c r="Z1549" s="661" t="str">
        <f t="shared" si="73"/>
        <v/>
      </c>
    </row>
    <row r="1550" spans="1:26" s="128" customFormat="1">
      <c r="A1550" s="655">
        <v>60625</v>
      </c>
      <c r="B1550" s="656" t="s">
        <v>33</v>
      </c>
      <c r="C1550" s="655" t="s">
        <v>2793</v>
      </c>
      <c r="D1550" s="656" t="s">
        <v>2822</v>
      </c>
      <c r="E1550" s="656" t="s">
        <v>2005</v>
      </c>
      <c r="F1550" s="655">
        <v>60365</v>
      </c>
      <c r="G1550" s="656" t="s">
        <v>81</v>
      </c>
      <c r="H1550" s="656" t="s">
        <v>1183</v>
      </c>
      <c r="I1550" s="656" t="s">
        <v>58</v>
      </c>
      <c r="J1550" s="655">
        <v>22</v>
      </c>
      <c r="K1550" s="655">
        <v>2</v>
      </c>
      <c r="L1550" s="656" t="s">
        <v>52</v>
      </c>
      <c r="M1550" s="656" t="s">
        <v>448</v>
      </c>
      <c r="N1550" s="656" t="s">
        <v>449</v>
      </c>
      <c r="O1550" s="656" t="s">
        <v>449</v>
      </c>
      <c r="P1550" s="656" t="s">
        <v>1176</v>
      </c>
      <c r="Q1550" s="657">
        <v>0</v>
      </c>
      <c r="R1550" s="657">
        <v>0</v>
      </c>
      <c r="S1550" s="657">
        <v>19464</v>
      </c>
      <c r="T1550" s="657">
        <v>19464</v>
      </c>
      <c r="U1550" s="657">
        <v>2201</v>
      </c>
      <c r="V1550" s="655">
        <v>2021</v>
      </c>
      <c r="W1550" s="659"/>
      <c r="X1550" s="660">
        <f t="shared" si="74"/>
        <v>8.843253066787824</v>
      </c>
      <c r="Y1550" s="661" t="str">
        <f t="shared" si="72"/>
        <v/>
      </c>
      <c r="Z1550" s="661" t="str">
        <f t="shared" si="73"/>
        <v/>
      </c>
    </row>
    <row r="1551" spans="1:26" s="128" customFormat="1" hidden="1">
      <c r="A1551" s="655">
        <v>60640</v>
      </c>
      <c r="B1551" s="656" t="s">
        <v>33</v>
      </c>
      <c r="C1551" s="655" t="s">
        <v>2793</v>
      </c>
      <c r="D1551" s="656" t="s">
        <v>2823</v>
      </c>
      <c r="E1551" s="656" t="s">
        <v>2823</v>
      </c>
      <c r="F1551" s="655">
        <v>64658</v>
      </c>
      <c r="G1551" s="656" t="s">
        <v>90</v>
      </c>
      <c r="H1551" s="656" t="s">
        <v>1183</v>
      </c>
      <c r="I1551" s="656" t="s">
        <v>58</v>
      </c>
      <c r="J1551" s="655">
        <v>22</v>
      </c>
      <c r="K1551" s="655">
        <v>2</v>
      </c>
      <c r="L1551" s="656" t="s">
        <v>52</v>
      </c>
      <c r="M1551" s="656" t="s">
        <v>448</v>
      </c>
      <c r="N1551" s="656" t="s">
        <v>449</v>
      </c>
      <c r="O1551" s="656" t="s">
        <v>449</v>
      </c>
      <c r="P1551" s="656" t="s">
        <v>1176</v>
      </c>
      <c r="Q1551" s="657">
        <v>0</v>
      </c>
      <c r="R1551" s="657">
        <v>0</v>
      </c>
      <c r="S1551" s="657">
        <v>19667</v>
      </c>
      <c r="T1551" s="657">
        <v>19667</v>
      </c>
      <c r="U1551" s="657">
        <v>2224</v>
      </c>
      <c r="V1551" s="655">
        <v>2021</v>
      </c>
      <c r="W1551" s="659"/>
      <c r="X1551" s="660">
        <f t="shared" si="74"/>
        <v>8.8430755395683445</v>
      </c>
      <c r="Y1551" s="661" t="str">
        <f t="shared" si="72"/>
        <v/>
      </c>
      <c r="Z1551" s="661" t="str">
        <f t="shared" si="73"/>
        <v/>
      </c>
    </row>
    <row r="1552" spans="1:26" s="128" customFormat="1">
      <c r="A1552" s="655">
        <v>60644</v>
      </c>
      <c r="B1552" s="656" t="s">
        <v>33</v>
      </c>
      <c r="C1552" s="655" t="s">
        <v>2793</v>
      </c>
      <c r="D1552" s="656" t="s">
        <v>2006</v>
      </c>
      <c r="E1552" s="656" t="s">
        <v>3138</v>
      </c>
      <c r="F1552" s="655">
        <v>63622</v>
      </c>
      <c r="G1552" s="656" t="s">
        <v>81</v>
      </c>
      <c r="H1552" s="656" t="s">
        <v>1183</v>
      </c>
      <c r="I1552" s="656" t="s">
        <v>58</v>
      </c>
      <c r="J1552" s="655">
        <v>22</v>
      </c>
      <c r="K1552" s="655">
        <v>2</v>
      </c>
      <c r="L1552" s="656" t="s">
        <v>52</v>
      </c>
      <c r="M1552" s="656" t="s">
        <v>448</v>
      </c>
      <c r="N1552" s="656" t="s">
        <v>449</v>
      </c>
      <c r="O1552" s="656" t="s">
        <v>449</v>
      </c>
      <c r="P1552" s="656" t="s">
        <v>1176</v>
      </c>
      <c r="Q1552" s="657">
        <v>0</v>
      </c>
      <c r="R1552" s="657">
        <v>0</v>
      </c>
      <c r="S1552" s="657">
        <v>16740</v>
      </c>
      <c r="T1552" s="657">
        <v>16740</v>
      </c>
      <c r="U1552" s="657">
        <v>1893</v>
      </c>
      <c r="V1552" s="655">
        <v>2021</v>
      </c>
      <c r="W1552" s="659"/>
      <c r="X1552" s="660">
        <f t="shared" si="74"/>
        <v>8.8431061806656093</v>
      </c>
      <c r="Y1552" s="661" t="str">
        <f t="shared" si="72"/>
        <v/>
      </c>
      <c r="Z1552" s="661" t="str">
        <f t="shared" si="73"/>
        <v/>
      </c>
    </row>
    <row r="1553" spans="1:26" s="128" customFormat="1" ht="25">
      <c r="A1553" s="655">
        <v>60653</v>
      </c>
      <c r="B1553" s="656" t="s">
        <v>33</v>
      </c>
      <c r="C1553" s="655" t="s">
        <v>2793</v>
      </c>
      <c r="D1553" s="656" t="s">
        <v>2007</v>
      </c>
      <c r="E1553" s="656" t="s">
        <v>1989</v>
      </c>
      <c r="F1553" s="655">
        <v>60281</v>
      </c>
      <c r="G1553" s="656" t="s">
        <v>81</v>
      </c>
      <c r="H1553" s="656" t="s">
        <v>1183</v>
      </c>
      <c r="I1553" s="656" t="s">
        <v>58</v>
      </c>
      <c r="J1553" s="655">
        <v>22</v>
      </c>
      <c r="K1553" s="655">
        <v>2</v>
      </c>
      <c r="L1553" s="656" t="s">
        <v>52</v>
      </c>
      <c r="M1553" s="656" t="s">
        <v>448</v>
      </c>
      <c r="N1553" s="656" t="s">
        <v>449</v>
      </c>
      <c r="O1553" s="656" t="s">
        <v>449</v>
      </c>
      <c r="P1553" s="656" t="s">
        <v>1176</v>
      </c>
      <c r="Q1553" s="657">
        <v>0</v>
      </c>
      <c r="R1553" s="657">
        <v>0</v>
      </c>
      <c r="S1553" s="657">
        <v>12920</v>
      </c>
      <c r="T1553" s="657">
        <v>12920</v>
      </c>
      <c r="U1553" s="657">
        <v>1461</v>
      </c>
      <c r="V1553" s="655">
        <v>2021</v>
      </c>
      <c r="W1553" s="659"/>
      <c r="X1553" s="660">
        <f t="shared" si="74"/>
        <v>8.8432580424366876</v>
      </c>
      <c r="Y1553" s="661" t="str">
        <f t="shared" si="72"/>
        <v/>
      </c>
      <c r="Z1553" s="661" t="str">
        <f t="shared" si="73"/>
        <v/>
      </c>
    </row>
    <row r="1554" spans="1:26" s="128" customFormat="1" ht="25" hidden="1">
      <c r="A1554" s="655">
        <v>60677</v>
      </c>
      <c r="B1554" s="656" t="s">
        <v>33</v>
      </c>
      <c r="C1554" s="655" t="s">
        <v>2793</v>
      </c>
      <c r="D1554" s="656" t="s">
        <v>2008</v>
      </c>
      <c r="E1554" s="656" t="s">
        <v>2009</v>
      </c>
      <c r="F1554" s="655">
        <v>60401</v>
      </c>
      <c r="G1554" s="656" t="s">
        <v>57</v>
      </c>
      <c r="H1554" s="656" t="s">
        <v>1182</v>
      </c>
      <c r="I1554" s="656" t="s">
        <v>1155</v>
      </c>
      <c r="J1554" s="655">
        <v>562212</v>
      </c>
      <c r="K1554" s="655">
        <v>4</v>
      </c>
      <c r="L1554" s="656" t="s">
        <v>412</v>
      </c>
      <c r="M1554" s="656" t="s">
        <v>448</v>
      </c>
      <c r="N1554" s="656" t="s">
        <v>449</v>
      </c>
      <c r="O1554" s="656" t="s">
        <v>449</v>
      </c>
      <c r="P1554" s="656" t="s">
        <v>1176</v>
      </c>
      <c r="Q1554" s="657">
        <v>0</v>
      </c>
      <c r="R1554" s="657">
        <v>0</v>
      </c>
      <c r="S1554" s="657">
        <v>25256</v>
      </c>
      <c r="T1554" s="657">
        <v>25256</v>
      </c>
      <c r="U1554" s="657">
        <v>2856</v>
      </c>
      <c r="V1554" s="655">
        <v>2021</v>
      </c>
      <c r="W1554" s="659"/>
      <c r="X1554" s="660" t="str">
        <f t="shared" si="74"/>
        <v/>
      </c>
      <c r="Y1554" s="661" t="str">
        <f t="shared" si="72"/>
        <v/>
      </c>
      <c r="Z1554" s="661" t="str">
        <f t="shared" si="73"/>
        <v/>
      </c>
    </row>
    <row r="1555" spans="1:26" s="128" customFormat="1" hidden="1">
      <c r="A1555" s="655">
        <v>60683</v>
      </c>
      <c r="B1555" s="656" t="s">
        <v>54</v>
      </c>
      <c r="C1555" s="655" t="s">
        <v>2793</v>
      </c>
      <c r="D1555" s="656" t="s">
        <v>2147</v>
      </c>
      <c r="E1555" s="656" t="s">
        <v>2148</v>
      </c>
      <c r="F1555" s="655">
        <v>60403</v>
      </c>
      <c r="G1555" s="656" t="s">
        <v>41</v>
      </c>
      <c r="H1555" s="656" t="s">
        <v>1183</v>
      </c>
      <c r="I1555" s="656" t="s">
        <v>58</v>
      </c>
      <c r="J1555" s="655">
        <v>22</v>
      </c>
      <c r="K1555" s="655">
        <v>3</v>
      </c>
      <c r="L1555" s="656" t="s">
        <v>55</v>
      </c>
      <c r="M1555" s="656" t="s">
        <v>1255</v>
      </c>
      <c r="N1555" s="656" t="s">
        <v>39</v>
      </c>
      <c r="O1555" s="656" t="s">
        <v>39</v>
      </c>
      <c r="P1555" s="656" t="s">
        <v>1037</v>
      </c>
      <c r="Q1555" s="657">
        <v>0</v>
      </c>
      <c r="R1555" s="657">
        <v>0</v>
      </c>
      <c r="S1555" s="657">
        <v>0</v>
      </c>
      <c r="T1555" s="657">
        <v>0</v>
      </c>
      <c r="U1555" s="657">
        <v>0</v>
      </c>
      <c r="V1555" s="655">
        <v>2021</v>
      </c>
      <c r="W1555" s="659"/>
      <c r="X1555" s="660" t="str">
        <f t="shared" si="74"/>
        <v/>
      </c>
      <c r="Y1555" s="661" t="str">
        <f t="shared" si="72"/>
        <v/>
      </c>
      <c r="Z1555" s="661" t="str">
        <f t="shared" si="73"/>
        <v/>
      </c>
    </row>
    <row r="1556" spans="1:26" s="128" customFormat="1" hidden="1">
      <c r="A1556" s="655">
        <v>60700</v>
      </c>
      <c r="B1556" s="656" t="s">
        <v>33</v>
      </c>
      <c r="C1556" s="655" t="s">
        <v>2793</v>
      </c>
      <c r="D1556" s="656" t="s">
        <v>2010</v>
      </c>
      <c r="E1556" s="656" t="s">
        <v>2010</v>
      </c>
      <c r="F1556" s="655">
        <v>60430</v>
      </c>
      <c r="G1556" s="656" t="s">
        <v>41</v>
      </c>
      <c r="H1556" s="656" t="s">
        <v>1183</v>
      </c>
      <c r="I1556" s="656" t="s">
        <v>58</v>
      </c>
      <c r="J1556" s="655">
        <v>22</v>
      </c>
      <c r="K1556" s="655">
        <v>2</v>
      </c>
      <c r="L1556" s="656" t="s">
        <v>52</v>
      </c>
      <c r="M1556" s="656" t="s">
        <v>71</v>
      </c>
      <c r="N1556" s="656" t="s">
        <v>72</v>
      </c>
      <c r="O1556" s="656" t="s">
        <v>72</v>
      </c>
      <c r="P1556" s="656" t="s">
        <v>1176</v>
      </c>
      <c r="Q1556" s="657">
        <v>0</v>
      </c>
      <c r="R1556" s="657">
        <v>0</v>
      </c>
      <c r="S1556" s="657">
        <v>112818</v>
      </c>
      <c r="T1556" s="657">
        <v>112818</v>
      </c>
      <c r="U1556" s="657">
        <v>12758</v>
      </c>
      <c r="V1556" s="655">
        <v>2021</v>
      </c>
      <c r="W1556" s="659"/>
      <c r="X1556" s="660">
        <f t="shared" si="74"/>
        <v>8.8429220881015826</v>
      </c>
      <c r="Y1556" s="661" t="str">
        <f t="shared" si="72"/>
        <v/>
      </c>
      <c r="Z1556" s="661" t="str">
        <f t="shared" si="73"/>
        <v/>
      </c>
    </row>
    <row r="1557" spans="1:26" s="128" customFormat="1" ht="25">
      <c r="A1557" s="655">
        <v>60710</v>
      </c>
      <c r="B1557" s="656" t="s">
        <v>33</v>
      </c>
      <c r="C1557" s="655" t="s">
        <v>2793</v>
      </c>
      <c r="D1557" s="656" t="s">
        <v>2348</v>
      </c>
      <c r="E1557" s="656" t="s">
        <v>3372</v>
      </c>
      <c r="F1557" s="655">
        <v>61944</v>
      </c>
      <c r="G1557" s="656" t="s">
        <v>81</v>
      </c>
      <c r="H1557" s="656" t="s">
        <v>1183</v>
      </c>
      <c r="I1557" s="656" t="s">
        <v>58</v>
      </c>
      <c r="J1557" s="655">
        <v>22</v>
      </c>
      <c r="K1557" s="655">
        <v>2</v>
      </c>
      <c r="L1557" s="656" t="s">
        <v>52</v>
      </c>
      <c r="M1557" s="656" t="s">
        <v>448</v>
      </c>
      <c r="N1557" s="656" t="s">
        <v>449</v>
      </c>
      <c r="O1557" s="656" t="s">
        <v>449</v>
      </c>
      <c r="P1557" s="656" t="s">
        <v>1176</v>
      </c>
      <c r="Q1557" s="657">
        <v>0</v>
      </c>
      <c r="R1557" s="657">
        <v>0</v>
      </c>
      <c r="S1557" s="657">
        <v>28209</v>
      </c>
      <c r="T1557" s="657">
        <v>28209</v>
      </c>
      <c r="U1557" s="657">
        <v>3190</v>
      </c>
      <c r="V1557" s="655">
        <v>2021</v>
      </c>
      <c r="W1557" s="659"/>
      <c r="X1557" s="660">
        <f t="shared" si="74"/>
        <v>8.8429467084639501</v>
      </c>
      <c r="Y1557" s="661" t="str">
        <f t="shared" si="72"/>
        <v/>
      </c>
      <c r="Z1557" s="661" t="str">
        <f t="shared" si="73"/>
        <v/>
      </c>
    </row>
    <row r="1558" spans="1:26" s="128" customFormat="1" ht="25">
      <c r="A1558" s="655">
        <v>60730</v>
      </c>
      <c r="B1558" s="656" t="s">
        <v>33</v>
      </c>
      <c r="C1558" s="655" t="s">
        <v>2793</v>
      </c>
      <c r="D1558" s="656" t="s">
        <v>2349</v>
      </c>
      <c r="E1558" s="656" t="s">
        <v>3372</v>
      </c>
      <c r="F1558" s="655">
        <v>61944</v>
      </c>
      <c r="G1558" s="656" t="s">
        <v>81</v>
      </c>
      <c r="H1558" s="656" t="s">
        <v>1183</v>
      </c>
      <c r="I1558" s="656" t="s">
        <v>58</v>
      </c>
      <c r="J1558" s="655">
        <v>22</v>
      </c>
      <c r="K1558" s="655">
        <v>2</v>
      </c>
      <c r="L1558" s="656" t="s">
        <v>52</v>
      </c>
      <c r="M1558" s="656" t="s">
        <v>448</v>
      </c>
      <c r="N1558" s="656" t="s">
        <v>449</v>
      </c>
      <c r="O1558" s="656" t="s">
        <v>449</v>
      </c>
      <c r="P1558" s="656" t="s">
        <v>1176</v>
      </c>
      <c r="Q1558" s="657">
        <v>0</v>
      </c>
      <c r="R1558" s="657">
        <v>0</v>
      </c>
      <c r="S1558" s="657">
        <v>36785</v>
      </c>
      <c r="T1558" s="657">
        <v>36785</v>
      </c>
      <c r="U1558" s="657">
        <v>4160</v>
      </c>
      <c r="V1558" s="655">
        <v>2021</v>
      </c>
      <c r="W1558" s="659"/>
      <c r="X1558" s="660">
        <f t="shared" si="74"/>
        <v>8.8425480769230766</v>
      </c>
      <c r="Y1558" s="661" t="str">
        <f t="shared" si="72"/>
        <v/>
      </c>
      <c r="Z1558" s="661" t="str">
        <f t="shared" si="73"/>
        <v/>
      </c>
    </row>
    <row r="1559" spans="1:26" s="128" customFormat="1" ht="25">
      <c r="A1559" s="655">
        <v>60731</v>
      </c>
      <c r="B1559" s="656" t="s">
        <v>33</v>
      </c>
      <c r="C1559" s="655" t="s">
        <v>2793</v>
      </c>
      <c r="D1559" s="656" t="s">
        <v>2350</v>
      </c>
      <c r="E1559" s="656" t="s">
        <v>3372</v>
      </c>
      <c r="F1559" s="655">
        <v>61944</v>
      </c>
      <c r="G1559" s="656" t="s">
        <v>81</v>
      </c>
      <c r="H1559" s="656" t="s">
        <v>1183</v>
      </c>
      <c r="I1559" s="656" t="s">
        <v>58</v>
      </c>
      <c r="J1559" s="655">
        <v>22</v>
      </c>
      <c r="K1559" s="655">
        <v>2</v>
      </c>
      <c r="L1559" s="656" t="s">
        <v>52</v>
      </c>
      <c r="M1559" s="656" t="s">
        <v>448</v>
      </c>
      <c r="N1559" s="656" t="s">
        <v>449</v>
      </c>
      <c r="O1559" s="656" t="s">
        <v>449</v>
      </c>
      <c r="P1559" s="656" t="s">
        <v>1176</v>
      </c>
      <c r="Q1559" s="657">
        <v>0</v>
      </c>
      <c r="R1559" s="657">
        <v>0</v>
      </c>
      <c r="S1559" s="657">
        <v>13786</v>
      </c>
      <c r="T1559" s="657">
        <v>13786</v>
      </c>
      <c r="U1559" s="657">
        <v>1559</v>
      </c>
      <c r="V1559" s="655">
        <v>2021</v>
      </c>
      <c r="W1559" s="659"/>
      <c r="X1559" s="660">
        <f t="shared" si="74"/>
        <v>8.8428479794740227</v>
      </c>
      <c r="Y1559" s="661" t="str">
        <f t="shared" si="72"/>
        <v/>
      </c>
      <c r="Z1559" s="661" t="str">
        <f t="shared" si="73"/>
        <v/>
      </c>
    </row>
    <row r="1560" spans="1:26" s="128" customFormat="1" ht="25">
      <c r="A1560" s="655">
        <v>60736</v>
      </c>
      <c r="B1560" s="656" t="s">
        <v>33</v>
      </c>
      <c r="C1560" s="655" t="s">
        <v>2793</v>
      </c>
      <c r="D1560" s="656" t="s">
        <v>2011</v>
      </c>
      <c r="E1560" s="656" t="s">
        <v>3372</v>
      </c>
      <c r="F1560" s="655">
        <v>61944</v>
      </c>
      <c r="G1560" s="656" t="s">
        <v>81</v>
      </c>
      <c r="H1560" s="656" t="s">
        <v>1183</v>
      </c>
      <c r="I1560" s="656" t="s">
        <v>58</v>
      </c>
      <c r="J1560" s="655">
        <v>22</v>
      </c>
      <c r="K1560" s="655">
        <v>2</v>
      </c>
      <c r="L1560" s="656" t="s">
        <v>52</v>
      </c>
      <c r="M1560" s="656" t="s">
        <v>448</v>
      </c>
      <c r="N1560" s="656" t="s">
        <v>449</v>
      </c>
      <c r="O1560" s="656" t="s">
        <v>449</v>
      </c>
      <c r="P1560" s="656" t="s">
        <v>1176</v>
      </c>
      <c r="Q1560" s="657">
        <v>0</v>
      </c>
      <c r="R1560" s="657">
        <v>0</v>
      </c>
      <c r="S1560" s="657">
        <v>25468</v>
      </c>
      <c r="T1560" s="657">
        <v>25468</v>
      </c>
      <c r="U1560" s="657">
        <v>2880</v>
      </c>
      <c r="V1560" s="655">
        <v>2021</v>
      </c>
      <c r="W1560" s="659"/>
      <c r="X1560" s="660">
        <f t="shared" si="74"/>
        <v>8.843055555555555</v>
      </c>
      <c r="Y1560" s="661" t="str">
        <f t="shared" si="72"/>
        <v/>
      </c>
      <c r="Z1560" s="661" t="str">
        <f t="shared" si="73"/>
        <v/>
      </c>
    </row>
    <row r="1561" spans="1:26" s="128" customFormat="1" ht="25">
      <c r="A1561" s="655">
        <v>60738</v>
      </c>
      <c r="B1561" s="656" t="s">
        <v>33</v>
      </c>
      <c r="C1561" s="655" t="s">
        <v>2793</v>
      </c>
      <c r="D1561" s="656" t="s">
        <v>2351</v>
      </c>
      <c r="E1561" s="656" t="s">
        <v>3372</v>
      </c>
      <c r="F1561" s="655">
        <v>61944</v>
      </c>
      <c r="G1561" s="656" t="s">
        <v>81</v>
      </c>
      <c r="H1561" s="656" t="s">
        <v>1183</v>
      </c>
      <c r="I1561" s="656" t="s">
        <v>58</v>
      </c>
      <c r="J1561" s="655">
        <v>22</v>
      </c>
      <c r="K1561" s="655">
        <v>2</v>
      </c>
      <c r="L1561" s="656" t="s">
        <v>52</v>
      </c>
      <c r="M1561" s="656" t="s">
        <v>448</v>
      </c>
      <c r="N1561" s="656" t="s">
        <v>449</v>
      </c>
      <c r="O1561" s="656" t="s">
        <v>449</v>
      </c>
      <c r="P1561" s="656" t="s">
        <v>1176</v>
      </c>
      <c r="Q1561" s="657">
        <v>0</v>
      </c>
      <c r="R1561" s="657">
        <v>0</v>
      </c>
      <c r="S1561" s="657">
        <v>23806</v>
      </c>
      <c r="T1561" s="657">
        <v>23806</v>
      </c>
      <c r="U1561" s="657">
        <v>2692</v>
      </c>
      <c r="V1561" s="655">
        <v>2021</v>
      </c>
      <c r="W1561" s="659"/>
      <c r="X1561" s="660">
        <f t="shared" si="74"/>
        <v>8.843239227340268</v>
      </c>
      <c r="Y1561" s="661" t="str">
        <f t="shared" si="72"/>
        <v/>
      </c>
      <c r="Z1561" s="661" t="str">
        <f t="shared" si="73"/>
        <v/>
      </c>
    </row>
    <row r="1562" spans="1:26" s="128" customFormat="1" ht="25">
      <c r="A1562" s="655">
        <v>60753</v>
      </c>
      <c r="B1562" s="656" t="s">
        <v>33</v>
      </c>
      <c r="C1562" s="655" t="s">
        <v>2793</v>
      </c>
      <c r="D1562" s="656" t="s">
        <v>2149</v>
      </c>
      <c r="E1562" s="656" t="s">
        <v>1989</v>
      </c>
      <c r="F1562" s="655">
        <v>60281</v>
      </c>
      <c r="G1562" s="656" t="s">
        <v>81</v>
      </c>
      <c r="H1562" s="656" t="s">
        <v>1183</v>
      </c>
      <c r="I1562" s="656" t="s">
        <v>58</v>
      </c>
      <c r="J1562" s="655">
        <v>22</v>
      </c>
      <c r="K1562" s="655">
        <v>2</v>
      </c>
      <c r="L1562" s="656" t="s">
        <v>52</v>
      </c>
      <c r="M1562" s="656" t="s">
        <v>448</v>
      </c>
      <c r="N1562" s="656" t="s">
        <v>449</v>
      </c>
      <c r="O1562" s="656" t="s">
        <v>449</v>
      </c>
      <c r="P1562" s="656" t="s">
        <v>1176</v>
      </c>
      <c r="Q1562" s="657">
        <v>0</v>
      </c>
      <c r="R1562" s="657">
        <v>0</v>
      </c>
      <c r="S1562" s="657">
        <v>13503</v>
      </c>
      <c r="T1562" s="657">
        <v>13503</v>
      </c>
      <c r="U1562" s="657">
        <v>1527</v>
      </c>
      <c r="V1562" s="655">
        <v>2021</v>
      </c>
      <c r="W1562" s="659"/>
      <c r="X1562" s="660">
        <f t="shared" si="74"/>
        <v>8.8428290766208253</v>
      </c>
      <c r="Y1562" s="661" t="str">
        <f t="shared" si="72"/>
        <v/>
      </c>
      <c r="Z1562" s="661" t="str">
        <f t="shared" si="73"/>
        <v/>
      </c>
    </row>
    <row r="1563" spans="1:26" s="128" customFormat="1" ht="25">
      <c r="A1563" s="655">
        <v>60754</v>
      </c>
      <c r="B1563" s="656" t="s">
        <v>33</v>
      </c>
      <c r="C1563" s="655" t="s">
        <v>2793</v>
      </c>
      <c r="D1563" s="656" t="s">
        <v>2150</v>
      </c>
      <c r="E1563" s="656" t="s">
        <v>1989</v>
      </c>
      <c r="F1563" s="655">
        <v>60281</v>
      </c>
      <c r="G1563" s="656" t="s">
        <v>81</v>
      </c>
      <c r="H1563" s="656" t="s">
        <v>1183</v>
      </c>
      <c r="I1563" s="656" t="s">
        <v>58</v>
      </c>
      <c r="J1563" s="655">
        <v>22</v>
      </c>
      <c r="K1563" s="655">
        <v>2</v>
      </c>
      <c r="L1563" s="656" t="s">
        <v>52</v>
      </c>
      <c r="M1563" s="656" t="s">
        <v>448</v>
      </c>
      <c r="N1563" s="656" t="s">
        <v>449</v>
      </c>
      <c r="O1563" s="656" t="s">
        <v>449</v>
      </c>
      <c r="P1563" s="656" t="s">
        <v>1176</v>
      </c>
      <c r="Q1563" s="657">
        <v>0</v>
      </c>
      <c r="R1563" s="657">
        <v>0</v>
      </c>
      <c r="S1563" s="657">
        <v>16863</v>
      </c>
      <c r="T1563" s="657">
        <v>16863</v>
      </c>
      <c r="U1563" s="657">
        <v>1907</v>
      </c>
      <c r="V1563" s="655">
        <v>2021</v>
      </c>
      <c r="W1563" s="659"/>
      <c r="X1563" s="660">
        <f t="shared" si="74"/>
        <v>8.8426848453067652</v>
      </c>
      <c r="Y1563" s="661" t="str">
        <f t="shared" si="72"/>
        <v/>
      </c>
      <c r="Z1563" s="661" t="str">
        <f t="shared" si="73"/>
        <v/>
      </c>
    </row>
    <row r="1564" spans="1:26" s="128" customFormat="1" ht="25">
      <c r="A1564" s="655">
        <v>60756</v>
      </c>
      <c r="B1564" s="656" t="s">
        <v>33</v>
      </c>
      <c r="C1564" s="655" t="s">
        <v>2793</v>
      </c>
      <c r="D1564" s="656" t="s">
        <v>2012</v>
      </c>
      <c r="E1564" s="656" t="s">
        <v>1989</v>
      </c>
      <c r="F1564" s="655">
        <v>60281</v>
      </c>
      <c r="G1564" s="656" t="s">
        <v>81</v>
      </c>
      <c r="H1564" s="656" t="s">
        <v>1183</v>
      </c>
      <c r="I1564" s="656" t="s">
        <v>58</v>
      </c>
      <c r="J1564" s="655">
        <v>22</v>
      </c>
      <c r="K1564" s="655">
        <v>2</v>
      </c>
      <c r="L1564" s="656" t="s">
        <v>52</v>
      </c>
      <c r="M1564" s="656" t="s">
        <v>448</v>
      </c>
      <c r="N1564" s="656" t="s">
        <v>449</v>
      </c>
      <c r="O1564" s="656" t="s">
        <v>449</v>
      </c>
      <c r="P1564" s="656" t="s">
        <v>1176</v>
      </c>
      <c r="Q1564" s="657">
        <v>0</v>
      </c>
      <c r="R1564" s="657">
        <v>0</v>
      </c>
      <c r="S1564" s="657">
        <v>37901</v>
      </c>
      <c r="T1564" s="657">
        <v>37901</v>
      </c>
      <c r="U1564" s="657">
        <v>4286</v>
      </c>
      <c r="V1564" s="655">
        <v>2021</v>
      </c>
      <c r="W1564" s="659"/>
      <c r="X1564" s="660">
        <f t="shared" si="74"/>
        <v>8.8429771348576764</v>
      </c>
      <c r="Y1564" s="661" t="str">
        <f t="shared" si="72"/>
        <v/>
      </c>
      <c r="Z1564" s="661" t="str">
        <f t="shared" si="73"/>
        <v/>
      </c>
    </row>
    <row r="1565" spans="1:26" s="128" customFormat="1" ht="25">
      <c r="A1565" s="655">
        <v>60757</v>
      </c>
      <c r="B1565" s="656" t="s">
        <v>33</v>
      </c>
      <c r="C1565" s="655" t="s">
        <v>2793</v>
      </c>
      <c r="D1565" s="656" t="s">
        <v>2151</v>
      </c>
      <c r="E1565" s="656" t="s">
        <v>1989</v>
      </c>
      <c r="F1565" s="655">
        <v>60281</v>
      </c>
      <c r="G1565" s="656" t="s">
        <v>81</v>
      </c>
      <c r="H1565" s="656" t="s">
        <v>1183</v>
      </c>
      <c r="I1565" s="656" t="s">
        <v>58</v>
      </c>
      <c r="J1565" s="655">
        <v>22</v>
      </c>
      <c r="K1565" s="655">
        <v>2</v>
      </c>
      <c r="L1565" s="656" t="s">
        <v>52</v>
      </c>
      <c r="M1565" s="656" t="s">
        <v>448</v>
      </c>
      <c r="N1565" s="656" t="s">
        <v>449</v>
      </c>
      <c r="O1565" s="656" t="s">
        <v>449</v>
      </c>
      <c r="P1565" s="656" t="s">
        <v>1176</v>
      </c>
      <c r="Q1565" s="657">
        <v>0</v>
      </c>
      <c r="R1565" s="657">
        <v>0</v>
      </c>
      <c r="S1565" s="657">
        <v>38398</v>
      </c>
      <c r="T1565" s="657">
        <v>38398</v>
      </c>
      <c r="U1565" s="657">
        <v>4342</v>
      </c>
      <c r="V1565" s="655">
        <v>2021</v>
      </c>
      <c r="W1565" s="659"/>
      <c r="X1565" s="660">
        <f t="shared" si="74"/>
        <v>8.8433901427913408</v>
      </c>
      <c r="Y1565" s="661" t="str">
        <f t="shared" si="72"/>
        <v/>
      </c>
      <c r="Z1565" s="661" t="str">
        <f t="shared" si="73"/>
        <v/>
      </c>
    </row>
    <row r="1566" spans="1:26" s="128" customFormat="1" ht="25">
      <c r="A1566" s="655">
        <v>60775</v>
      </c>
      <c r="B1566" s="656" t="s">
        <v>33</v>
      </c>
      <c r="C1566" s="655" t="s">
        <v>2793</v>
      </c>
      <c r="D1566" s="656" t="s">
        <v>2152</v>
      </c>
      <c r="E1566" s="656" t="s">
        <v>3372</v>
      </c>
      <c r="F1566" s="655">
        <v>61944</v>
      </c>
      <c r="G1566" s="656" t="s">
        <v>81</v>
      </c>
      <c r="H1566" s="656" t="s">
        <v>1183</v>
      </c>
      <c r="I1566" s="656" t="s">
        <v>58</v>
      </c>
      <c r="J1566" s="655">
        <v>22</v>
      </c>
      <c r="K1566" s="655">
        <v>2</v>
      </c>
      <c r="L1566" s="656" t="s">
        <v>52</v>
      </c>
      <c r="M1566" s="656" t="s">
        <v>448</v>
      </c>
      <c r="N1566" s="656" t="s">
        <v>449</v>
      </c>
      <c r="O1566" s="656" t="s">
        <v>449</v>
      </c>
      <c r="P1566" s="656" t="s">
        <v>1176</v>
      </c>
      <c r="Q1566" s="657">
        <v>0</v>
      </c>
      <c r="R1566" s="657">
        <v>0</v>
      </c>
      <c r="S1566" s="657">
        <v>55039</v>
      </c>
      <c r="T1566" s="657">
        <v>55039</v>
      </c>
      <c r="U1566" s="657">
        <v>6224</v>
      </c>
      <c r="V1566" s="655">
        <v>2021</v>
      </c>
      <c r="W1566" s="659"/>
      <c r="X1566" s="660">
        <f t="shared" si="74"/>
        <v>8.8430269922879177</v>
      </c>
      <c r="Y1566" s="661" t="str">
        <f t="shared" si="72"/>
        <v/>
      </c>
      <c r="Z1566" s="661" t="str">
        <f t="shared" si="73"/>
        <v/>
      </c>
    </row>
    <row r="1567" spans="1:26" s="128" customFormat="1">
      <c r="A1567" s="655">
        <v>60799</v>
      </c>
      <c r="B1567" s="656" t="s">
        <v>33</v>
      </c>
      <c r="C1567" s="655" t="s">
        <v>2793</v>
      </c>
      <c r="D1567" s="656" t="s">
        <v>2153</v>
      </c>
      <c r="E1567" s="656" t="s">
        <v>2153</v>
      </c>
      <c r="F1567" s="655">
        <v>60479</v>
      </c>
      <c r="G1567" s="656" t="s">
        <v>81</v>
      </c>
      <c r="H1567" s="656" t="s">
        <v>1183</v>
      </c>
      <c r="I1567" s="656" t="s">
        <v>58</v>
      </c>
      <c r="J1567" s="655">
        <v>22</v>
      </c>
      <c r="K1567" s="655">
        <v>2</v>
      </c>
      <c r="L1567" s="656" t="s">
        <v>52</v>
      </c>
      <c r="M1567" s="656" t="s">
        <v>448</v>
      </c>
      <c r="N1567" s="656" t="s">
        <v>449</v>
      </c>
      <c r="O1567" s="656" t="s">
        <v>449</v>
      </c>
      <c r="P1567" s="656" t="s">
        <v>1176</v>
      </c>
      <c r="Q1567" s="657">
        <v>0</v>
      </c>
      <c r="R1567" s="657">
        <v>0</v>
      </c>
      <c r="S1567" s="657">
        <v>62386</v>
      </c>
      <c r="T1567" s="657">
        <v>62386</v>
      </c>
      <c r="U1567" s="657">
        <v>7055</v>
      </c>
      <c r="V1567" s="655">
        <v>2021</v>
      </c>
      <c r="W1567" s="659"/>
      <c r="X1567" s="660">
        <f t="shared" si="74"/>
        <v>8.8428065201984403</v>
      </c>
      <c r="Y1567" s="661" t="str">
        <f t="shared" si="72"/>
        <v/>
      </c>
      <c r="Z1567" s="661" t="str">
        <f t="shared" si="73"/>
        <v/>
      </c>
    </row>
    <row r="1568" spans="1:26" s="128" customFormat="1" ht="25">
      <c r="A1568" s="655">
        <v>60815</v>
      </c>
      <c r="B1568" s="656" t="s">
        <v>33</v>
      </c>
      <c r="C1568" s="655" t="s">
        <v>2793</v>
      </c>
      <c r="D1568" s="656" t="s">
        <v>2824</v>
      </c>
      <c r="E1568" s="656" t="s">
        <v>1922</v>
      </c>
      <c r="F1568" s="655">
        <v>60947</v>
      </c>
      <c r="G1568" s="656" t="s">
        <v>81</v>
      </c>
      <c r="H1568" s="656" t="s">
        <v>1183</v>
      </c>
      <c r="I1568" s="656" t="s">
        <v>58</v>
      </c>
      <c r="J1568" s="655">
        <v>22</v>
      </c>
      <c r="K1568" s="655">
        <v>2</v>
      </c>
      <c r="L1568" s="656" t="s">
        <v>52</v>
      </c>
      <c r="M1568" s="656" t="s">
        <v>1890</v>
      </c>
      <c r="N1568" s="656" t="s">
        <v>1052</v>
      </c>
      <c r="O1568" s="656" t="s">
        <v>82</v>
      </c>
      <c r="P1568" s="656" t="s">
        <v>2794</v>
      </c>
      <c r="Q1568" s="657">
        <v>78</v>
      </c>
      <c r="R1568" s="657">
        <v>78</v>
      </c>
      <c r="S1568" s="657">
        <v>0</v>
      </c>
      <c r="T1568" s="657">
        <v>0</v>
      </c>
      <c r="U1568" s="657">
        <v>-32</v>
      </c>
      <c r="V1568" s="655">
        <v>2021</v>
      </c>
      <c r="W1568" s="659"/>
      <c r="X1568" s="660" t="str">
        <f t="shared" si="74"/>
        <v/>
      </c>
      <c r="Y1568" s="661" t="str">
        <f t="shared" si="72"/>
        <v/>
      </c>
      <c r="Z1568" s="661" t="str">
        <f t="shared" si="73"/>
        <v/>
      </c>
    </row>
    <row r="1569" spans="1:26" s="128" customFormat="1">
      <c r="A1569" s="655">
        <v>60815</v>
      </c>
      <c r="B1569" s="656" t="s">
        <v>33</v>
      </c>
      <c r="C1569" s="655" t="s">
        <v>2793</v>
      </c>
      <c r="D1569" s="656" t="s">
        <v>2824</v>
      </c>
      <c r="E1569" s="656" t="s">
        <v>1922</v>
      </c>
      <c r="F1569" s="655">
        <v>60947</v>
      </c>
      <c r="G1569" s="656" t="s">
        <v>81</v>
      </c>
      <c r="H1569" s="656" t="s">
        <v>1183</v>
      </c>
      <c r="I1569" s="656" t="s">
        <v>58</v>
      </c>
      <c r="J1569" s="655">
        <v>22</v>
      </c>
      <c r="K1569" s="655">
        <v>2</v>
      </c>
      <c r="L1569" s="656" t="s">
        <v>52</v>
      </c>
      <c r="M1569" s="656" t="s">
        <v>448</v>
      </c>
      <c r="N1569" s="656" t="s">
        <v>449</v>
      </c>
      <c r="O1569" s="656" t="s">
        <v>449</v>
      </c>
      <c r="P1569" s="656" t="s">
        <v>1176</v>
      </c>
      <c r="Q1569" s="657">
        <v>0</v>
      </c>
      <c r="R1569" s="657">
        <v>0</v>
      </c>
      <c r="S1569" s="657">
        <v>48025</v>
      </c>
      <c r="T1569" s="657">
        <v>48025</v>
      </c>
      <c r="U1569" s="657">
        <v>5431</v>
      </c>
      <c r="V1569" s="655">
        <v>2021</v>
      </c>
      <c r="W1569" s="659"/>
      <c r="X1569" s="660">
        <f t="shared" si="74"/>
        <v>8.8427545571717907</v>
      </c>
      <c r="Y1569" s="661" t="str">
        <f t="shared" si="72"/>
        <v/>
      </c>
      <c r="Z1569" s="661" t="str">
        <f t="shared" si="73"/>
        <v/>
      </c>
    </row>
    <row r="1570" spans="1:26" s="128" customFormat="1">
      <c r="A1570" s="655">
        <v>60816</v>
      </c>
      <c r="B1570" s="656" t="s">
        <v>33</v>
      </c>
      <c r="C1570" s="655" t="s">
        <v>2793</v>
      </c>
      <c r="D1570" s="656" t="s">
        <v>2154</v>
      </c>
      <c r="E1570" s="656" t="s">
        <v>2155</v>
      </c>
      <c r="F1570" s="655">
        <v>61132</v>
      </c>
      <c r="G1570" s="656" t="s">
        <v>81</v>
      </c>
      <c r="H1570" s="656" t="s">
        <v>1183</v>
      </c>
      <c r="I1570" s="656" t="s">
        <v>58</v>
      </c>
      <c r="J1570" s="655">
        <v>22</v>
      </c>
      <c r="K1570" s="655">
        <v>2</v>
      </c>
      <c r="L1570" s="656" t="s">
        <v>52</v>
      </c>
      <c r="M1570" s="656" t="s">
        <v>448</v>
      </c>
      <c r="N1570" s="656" t="s">
        <v>449</v>
      </c>
      <c r="O1570" s="656" t="s">
        <v>449</v>
      </c>
      <c r="P1570" s="656" t="s">
        <v>1176</v>
      </c>
      <c r="Q1570" s="657">
        <v>0</v>
      </c>
      <c r="R1570" s="657">
        <v>0</v>
      </c>
      <c r="S1570" s="657">
        <v>22232</v>
      </c>
      <c r="T1570" s="657">
        <v>22232</v>
      </c>
      <c r="U1570" s="657">
        <v>2514</v>
      </c>
      <c r="V1570" s="655">
        <v>2021</v>
      </c>
      <c r="W1570" s="659"/>
      <c r="X1570" s="660">
        <f t="shared" si="74"/>
        <v>8.8432776451869533</v>
      </c>
      <c r="Y1570" s="661" t="str">
        <f t="shared" si="72"/>
        <v/>
      </c>
      <c r="Z1570" s="661" t="str">
        <f t="shared" si="73"/>
        <v/>
      </c>
    </row>
    <row r="1571" spans="1:26" s="128" customFormat="1" ht="25" hidden="1">
      <c r="A1571" s="655">
        <v>60817</v>
      </c>
      <c r="B1571" s="656" t="s">
        <v>33</v>
      </c>
      <c r="C1571" s="655" t="s">
        <v>2793</v>
      </c>
      <c r="D1571" s="656" t="s">
        <v>2013</v>
      </c>
      <c r="E1571" s="656" t="s">
        <v>1922</v>
      </c>
      <c r="F1571" s="655">
        <v>60947</v>
      </c>
      <c r="G1571" s="656" t="s">
        <v>57</v>
      </c>
      <c r="H1571" s="656" t="s">
        <v>1182</v>
      </c>
      <c r="I1571" s="656" t="s">
        <v>58</v>
      </c>
      <c r="J1571" s="655">
        <v>22</v>
      </c>
      <c r="K1571" s="655">
        <v>2</v>
      </c>
      <c r="L1571" s="656" t="s">
        <v>52</v>
      </c>
      <c r="M1571" s="656" t="s">
        <v>448</v>
      </c>
      <c r="N1571" s="656" t="s">
        <v>449</v>
      </c>
      <c r="O1571" s="656" t="s">
        <v>449</v>
      </c>
      <c r="P1571" s="656" t="s">
        <v>1176</v>
      </c>
      <c r="Q1571" s="657">
        <v>0</v>
      </c>
      <c r="R1571" s="657">
        <v>0</v>
      </c>
      <c r="S1571" s="657">
        <v>21648</v>
      </c>
      <c r="T1571" s="657">
        <v>21648</v>
      </c>
      <c r="U1571" s="657">
        <v>2448</v>
      </c>
      <c r="V1571" s="655">
        <v>2021</v>
      </c>
      <c r="W1571" s="659"/>
      <c r="X1571" s="660">
        <f t="shared" si="74"/>
        <v>8.8431372549019613</v>
      </c>
      <c r="Y1571" s="661" t="str">
        <f t="shared" si="72"/>
        <v/>
      </c>
      <c r="Z1571" s="661" t="str">
        <f t="shared" si="73"/>
        <v/>
      </c>
    </row>
    <row r="1572" spans="1:26" s="128" customFormat="1" ht="25" hidden="1">
      <c r="A1572" s="655">
        <v>60818</v>
      </c>
      <c r="B1572" s="656" t="s">
        <v>33</v>
      </c>
      <c r="C1572" s="655" t="s">
        <v>2793</v>
      </c>
      <c r="D1572" s="656" t="s">
        <v>2014</v>
      </c>
      <c r="E1572" s="656" t="s">
        <v>1922</v>
      </c>
      <c r="F1572" s="655">
        <v>60947</v>
      </c>
      <c r="G1572" s="656" t="s">
        <v>57</v>
      </c>
      <c r="H1572" s="656" t="s">
        <v>1182</v>
      </c>
      <c r="I1572" s="656" t="s">
        <v>58</v>
      </c>
      <c r="J1572" s="655">
        <v>22</v>
      </c>
      <c r="K1572" s="655">
        <v>2</v>
      </c>
      <c r="L1572" s="656" t="s">
        <v>52</v>
      </c>
      <c r="M1572" s="656" t="s">
        <v>448</v>
      </c>
      <c r="N1572" s="656" t="s">
        <v>449</v>
      </c>
      <c r="O1572" s="656" t="s">
        <v>449</v>
      </c>
      <c r="P1572" s="656" t="s">
        <v>1176</v>
      </c>
      <c r="Q1572" s="657">
        <v>0</v>
      </c>
      <c r="R1572" s="657">
        <v>0</v>
      </c>
      <c r="S1572" s="657">
        <v>18296</v>
      </c>
      <c r="T1572" s="657">
        <v>18296</v>
      </c>
      <c r="U1572" s="657">
        <v>2069</v>
      </c>
      <c r="V1572" s="655">
        <v>2021</v>
      </c>
      <c r="W1572" s="659"/>
      <c r="X1572" s="660">
        <f t="shared" si="74"/>
        <v>8.8429192846785885</v>
      </c>
      <c r="Y1572" s="661" t="str">
        <f t="shared" si="72"/>
        <v/>
      </c>
      <c r="Z1572" s="661" t="str">
        <f t="shared" si="73"/>
        <v/>
      </c>
    </row>
    <row r="1573" spans="1:26" s="128" customFormat="1" ht="25" hidden="1">
      <c r="A1573" s="655">
        <v>60819</v>
      </c>
      <c r="B1573" s="656" t="s">
        <v>33</v>
      </c>
      <c r="C1573" s="655" t="s">
        <v>2793</v>
      </c>
      <c r="D1573" s="656" t="s">
        <v>2156</v>
      </c>
      <c r="E1573" s="656" t="s">
        <v>2157</v>
      </c>
      <c r="F1573" s="655">
        <v>61060</v>
      </c>
      <c r="G1573" s="656" t="s">
        <v>57</v>
      </c>
      <c r="H1573" s="656" t="s">
        <v>1182</v>
      </c>
      <c r="I1573" s="656" t="s">
        <v>58</v>
      </c>
      <c r="J1573" s="655">
        <v>22</v>
      </c>
      <c r="K1573" s="655">
        <v>2</v>
      </c>
      <c r="L1573" s="656" t="s">
        <v>52</v>
      </c>
      <c r="M1573" s="656" t="s">
        <v>448</v>
      </c>
      <c r="N1573" s="656" t="s">
        <v>449</v>
      </c>
      <c r="O1573" s="656" t="s">
        <v>449</v>
      </c>
      <c r="P1573" s="656" t="s">
        <v>1176</v>
      </c>
      <c r="Q1573" s="657">
        <v>0</v>
      </c>
      <c r="R1573" s="657">
        <v>0</v>
      </c>
      <c r="S1573" s="657">
        <v>24901</v>
      </c>
      <c r="T1573" s="657">
        <v>24901</v>
      </c>
      <c r="U1573" s="657">
        <v>2816</v>
      </c>
      <c r="V1573" s="655">
        <v>2021</v>
      </c>
      <c r="W1573" s="659"/>
      <c r="X1573" s="660">
        <f t="shared" si="74"/>
        <v>8.8426846590909083</v>
      </c>
      <c r="Y1573" s="661" t="str">
        <f t="shared" si="72"/>
        <v/>
      </c>
      <c r="Z1573" s="661" t="str">
        <f t="shared" si="73"/>
        <v/>
      </c>
    </row>
    <row r="1574" spans="1:26" s="128" customFormat="1" hidden="1">
      <c r="A1574" s="655">
        <v>60831</v>
      </c>
      <c r="B1574" s="656" t="s">
        <v>33</v>
      </c>
      <c r="C1574" s="655" t="s">
        <v>2793</v>
      </c>
      <c r="D1574" s="656" t="s">
        <v>2158</v>
      </c>
      <c r="E1574" s="656" t="s">
        <v>3377</v>
      </c>
      <c r="F1574" s="655">
        <v>64553</v>
      </c>
      <c r="G1574" s="656" t="s">
        <v>131</v>
      </c>
      <c r="H1574" s="656" t="s">
        <v>1183</v>
      </c>
      <c r="I1574" s="656" t="s">
        <v>58</v>
      </c>
      <c r="J1574" s="655">
        <v>22</v>
      </c>
      <c r="K1574" s="655">
        <v>2</v>
      </c>
      <c r="L1574" s="656" t="s">
        <v>52</v>
      </c>
      <c r="M1574" s="656" t="s">
        <v>51</v>
      </c>
      <c r="N1574" s="656" t="s">
        <v>68</v>
      </c>
      <c r="O1574" s="656" t="s">
        <v>49</v>
      </c>
      <c r="P1574" s="656" t="s">
        <v>40</v>
      </c>
      <c r="Q1574" s="657">
        <v>61500</v>
      </c>
      <c r="R1574" s="657">
        <v>61500</v>
      </c>
      <c r="S1574" s="657">
        <v>41818</v>
      </c>
      <c r="T1574" s="657">
        <v>41818</v>
      </c>
      <c r="U1574" s="657">
        <v>4073.86</v>
      </c>
      <c r="V1574" s="655">
        <v>2021</v>
      </c>
      <c r="W1574" s="659"/>
      <c r="X1574" s="660">
        <f t="shared" si="74"/>
        <v>10.264957558678992</v>
      </c>
      <c r="Y1574" s="661" t="str">
        <f t="shared" si="72"/>
        <v/>
      </c>
      <c r="Z1574" s="661" t="str">
        <f t="shared" si="73"/>
        <v/>
      </c>
    </row>
    <row r="1575" spans="1:26" s="128" customFormat="1">
      <c r="A1575" s="655">
        <v>60851</v>
      </c>
      <c r="B1575" s="656" t="s">
        <v>33</v>
      </c>
      <c r="C1575" s="655" t="s">
        <v>2793</v>
      </c>
      <c r="D1575" s="656" t="s">
        <v>2352</v>
      </c>
      <c r="E1575" s="656" t="s">
        <v>2353</v>
      </c>
      <c r="F1575" s="655">
        <v>61561</v>
      </c>
      <c r="G1575" s="656" t="s">
        <v>81</v>
      </c>
      <c r="H1575" s="656" t="s">
        <v>1183</v>
      </c>
      <c r="I1575" s="656" t="s">
        <v>58</v>
      </c>
      <c r="J1575" s="655">
        <v>22</v>
      </c>
      <c r="K1575" s="655">
        <v>2</v>
      </c>
      <c r="L1575" s="656" t="s">
        <v>52</v>
      </c>
      <c r="M1575" s="656" t="s">
        <v>448</v>
      </c>
      <c r="N1575" s="656" t="s">
        <v>449</v>
      </c>
      <c r="O1575" s="656" t="s">
        <v>449</v>
      </c>
      <c r="P1575" s="656" t="s">
        <v>1176</v>
      </c>
      <c r="Q1575" s="657">
        <v>0</v>
      </c>
      <c r="R1575" s="657">
        <v>0</v>
      </c>
      <c r="S1575" s="657">
        <v>29516</v>
      </c>
      <c r="T1575" s="657">
        <v>29516</v>
      </c>
      <c r="U1575" s="657">
        <v>3338</v>
      </c>
      <c r="V1575" s="655">
        <v>2021</v>
      </c>
      <c r="W1575" s="659"/>
      <c r="X1575" s="660">
        <f t="shared" si="74"/>
        <v>8.8424206111443979</v>
      </c>
      <c r="Y1575" s="661" t="str">
        <f t="shared" si="72"/>
        <v/>
      </c>
      <c r="Z1575" s="661" t="str">
        <f t="shared" si="73"/>
        <v/>
      </c>
    </row>
    <row r="1576" spans="1:26" s="128" customFormat="1">
      <c r="A1576" s="655">
        <v>60852</v>
      </c>
      <c r="B1576" s="656" t="s">
        <v>33</v>
      </c>
      <c r="C1576" s="655" t="s">
        <v>2793</v>
      </c>
      <c r="D1576" s="656" t="s">
        <v>2354</v>
      </c>
      <c r="E1576" s="656" t="s">
        <v>2353</v>
      </c>
      <c r="F1576" s="655">
        <v>61561</v>
      </c>
      <c r="G1576" s="656" t="s">
        <v>81</v>
      </c>
      <c r="H1576" s="656" t="s">
        <v>1183</v>
      </c>
      <c r="I1576" s="656" t="s">
        <v>58</v>
      </c>
      <c r="J1576" s="655">
        <v>22</v>
      </c>
      <c r="K1576" s="655">
        <v>2</v>
      </c>
      <c r="L1576" s="656" t="s">
        <v>52</v>
      </c>
      <c r="M1576" s="656" t="s">
        <v>448</v>
      </c>
      <c r="N1576" s="656" t="s">
        <v>449</v>
      </c>
      <c r="O1576" s="656" t="s">
        <v>449</v>
      </c>
      <c r="P1576" s="656" t="s">
        <v>1176</v>
      </c>
      <c r="Q1576" s="657">
        <v>0</v>
      </c>
      <c r="R1576" s="657">
        <v>0</v>
      </c>
      <c r="S1576" s="657">
        <v>30668</v>
      </c>
      <c r="T1576" s="657">
        <v>30668</v>
      </c>
      <c r="U1576" s="657">
        <v>3468</v>
      </c>
      <c r="V1576" s="655">
        <v>2021</v>
      </c>
      <c r="W1576" s="659"/>
      <c r="X1576" s="660">
        <f t="shared" si="74"/>
        <v>8.8431372549019613</v>
      </c>
      <c r="Y1576" s="661" t="str">
        <f t="shared" si="72"/>
        <v/>
      </c>
      <c r="Z1576" s="661" t="str">
        <f t="shared" si="73"/>
        <v/>
      </c>
    </row>
    <row r="1577" spans="1:26" s="128" customFormat="1" ht="25">
      <c r="A1577" s="655">
        <v>60854</v>
      </c>
      <c r="B1577" s="656" t="s">
        <v>33</v>
      </c>
      <c r="C1577" s="655" t="s">
        <v>2793</v>
      </c>
      <c r="D1577" s="656" t="s">
        <v>2159</v>
      </c>
      <c r="E1577" s="656" t="s">
        <v>2160</v>
      </c>
      <c r="F1577" s="655">
        <v>60513</v>
      </c>
      <c r="G1577" s="656" t="s">
        <v>81</v>
      </c>
      <c r="H1577" s="656" t="s">
        <v>1183</v>
      </c>
      <c r="I1577" s="656" t="s">
        <v>58</v>
      </c>
      <c r="J1577" s="655">
        <v>22</v>
      </c>
      <c r="K1577" s="655">
        <v>2</v>
      </c>
      <c r="L1577" s="656" t="s">
        <v>52</v>
      </c>
      <c r="M1577" s="656" t="s">
        <v>448</v>
      </c>
      <c r="N1577" s="656" t="s">
        <v>449</v>
      </c>
      <c r="O1577" s="656" t="s">
        <v>449</v>
      </c>
      <c r="P1577" s="656" t="s">
        <v>1176</v>
      </c>
      <c r="Q1577" s="657">
        <v>0</v>
      </c>
      <c r="R1577" s="657">
        <v>0</v>
      </c>
      <c r="S1577" s="657">
        <v>50705</v>
      </c>
      <c r="T1577" s="657">
        <v>50705</v>
      </c>
      <c r="U1577" s="657">
        <v>5734</v>
      </c>
      <c r="V1577" s="655">
        <v>2021</v>
      </c>
      <c r="W1577" s="659"/>
      <c r="X1577" s="660">
        <f t="shared" si="74"/>
        <v>8.8428671084757582</v>
      </c>
      <c r="Y1577" s="661" t="str">
        <f t="shared" si="72"/>
        <v/>
      </c>
      <c r="Z1577" s="661" t="str">
        <f t="shared" si="73"/>
        <v/>
      </c>
    </row>
    <row r="1578" spans="1:26" s="128" customFormat="1">
      <c r="A1578" s="655">
        <v>60855</v>
      </c>
      <c r="B1578" s="656" t="s">
        <v>33</v>
      </c>
      <c r="C1578" s="655" t="s">
        <v>2793</v>
      </c>
      <c r="D1578" s="656" t="s">
        <v>2015</v>
      </c>
      <c r="E1578" s="656" t="s">
        <v>2016</v>
      </c>
      <c r="F1578" s="655">
        <v>60514</v>
      </c>
      <c r="G1578" s="656" t="s">
        <v>81</v>
      </c>
      <c r="H1578" s="656" t="s">
        <v>1183</v>
      </c>
      <c r="I1578" s="656" t="s">
        <v>58</v>
      </c>
      <c r="J1578" s="655">
        <v>22</v>
      </c>
      <c r="K1578" s="655">
        <v>2</v>
      </c>
      <c r="L1578" s="656" t="s">
        <v>52</v>
      </c>
      <c r="M1578" s="656" t="s">
        <v>448</v>
      </c>
      <c r="N1578" s="656" t="s">
        <v>449</v>
      </c>
      <c r="O1578" s="656" t="s">
        <v>449</v>
      </c>
      <c r="P1578" s="656" t="s">
        <v>1176</v>
      </c>
      <c r="Q1578" s="657">
        <v>0</v>
      </c>
      <c r="R1578" s="657">
        <v>0</v>
      </c>
      <c r="S1578" s="657">
        <v>37548</v>
      </c>
      <c r="T1578" s="657">
        <v>37548</v>
      </c>
      <c r="U1578" s="657">
        <v>4246</v>
      </c>
      <c r="V1578" s="655">
        <v>2021</v>
      </c>
      <c r="W1578" s="659"/>
      <c r="X1578" s="660">
        <f t="shared" si="74"/>
        <v>8.8431464908148847</v>
      </c>
      <c r="Y1578" s="661" t="str">
        <f t="shared" si="72"/>
        <v/>
      </c>
      <c r="Z1578" s="661" t="str">
        <f t="shared" si="73"/>
        <v/>
      </c>
    </row>
    <row r="1579" spans="1:26" s="128" customFormat="1" ht="25">
      <c r="A1579" s="655">
        <v>60858</v>
      </c>
      <c r="B1579" s="656" t="s">
        <v>33</v>
      </c>
      <c r="C1579" s="655" t="s">
        <v>2793</v>
      </c>
      <c r="D1579" s="656" t="s">
        <v>2017</v>
      </c>
      <c r="E1579" s="656" t="s">
        <v>1989</v>
      </c>
      <c r="F1579" s="655">
        <v>60281</v>
      </c>
      <c r="G1579" s="656" t="s">
        <v>81</v>
      </c>
      <c r="H1579" s="656" t="s">
        <v>1183</v>
      </c>
      <c r="I1579" s="656" t="s">
        <v>58</v>
      </c>
      <c r="J1579" s="655">
        <v>22</v>
      </c>
      <c r="K1579" s="655">
        <v>2</v>
      </c>
      <c r="L1579" s="656" t="s">
        <v>52</v>
      </c>
      <c r="M1579" s="656" t="s">
        <v>448</v>
      </c>
      <c r="N1579" s="656" t="s">
        <v>449</v>
      </c>
      <c r="O1579" s="656" t="s">
        <v>449</v>
      </c>
      <c r="P1579" s="656" t="s">
        <v>1176</v>
      </c>
      <c r="Q1579" s="657">
        <v>0</v>
      </c>
      <c r="R1579" s="657">
        <v>0</v>
      </c>
      <c r="S1579" s="657">
        <v>19479</v>
      </c>
      <c r="T1579" s="657">
        <v>19479</v>
      </c>
      <c r="U1579" s="657">
        <v>2203</v>
      </c>
      <c r="V1579" s="655">
        <v>2021</v>
      </c>
      <c r="W1579" s="659"/>
      <c r="X1579" s="660">
        <f t="shared" si="74"/>
        <v>8.84203359055833</v>
      </c>
      <c r="Y1579" s="661" t="str">
        <f t="shared" si="72"/>
        <v/>
      </c>
      <c r="Z1579" s="661" t="str">
        <f t="shared" si="73"/>
        <v/>
      </c>
    </row>
    <row r="1580" spans="1:26" s="128" customFormat="1" hidden="1">
      <c r="A1580" s="655">
        <v>60860</v>
      </c>
      <c r="B1580" s="656" t="s">
        <v>33</v>
      </c>
      <c r="C1580" s="655" t="s">
        <v>2793</v>
      </c>
      <c r="D1580" s="656" t="s">
        <v>2018</v>
      </c>
      <c r="E1580" s="656" t="s">
        <v>2019</v>
      </c>
      <c r="F1580" s="655">
        <v>60520</v>
      </c>
      <c r="G1580" s="656" t="s">
        <v>89</v>
      </c>
      <c r="H1580" s="656" t="s">
        <v>1183</v>
      </c>
      <c r="I1580" s="656" t="s">
        <v>58</v>
      </c>
      <c r="J1580" s="655">
        <v>22</v>
      </c>
      <c r="K1580" s="655">
        <v>2</v>
      </c>
      <c r="L1580" s="656" t="s">
        <v>52</v>
      </c>
      <c r="M1580" s="656" t="s">
        <v>448</v>
      </c>
      <c r="N1580" s="656" t="s">
        <v>449</v>
      </c>
      <c r="O1580" s="656" t="s">
        <v>449</v>
      </c>
      <c r="P1580" s="656" t="s">
        <v>1176</v>
      </c>
      <c r="Q1580" s="657">
        <v>0</v>
      </c>
      <c r="R1580" s="657">
        <v>0</v>
      </c>
      <c r="S1580" s="657">
        <v>12638</v>
      </c>
      <c r="T1580" s="657">
        <v>12638</v>
      </c>
      <c r="U1580" s="657">
        <v>1429</v>
      </c>
      <c r="V1580" s="655">
        <v>2021</v>
      </c>
      <c r="W1580" s="659"/>
      <c r="X1580" s="660">
        <f t="shared" si="74"/>
        <v>8.8439468159552135</v>
      </c>
      <c r="Y1580" s="661" t="str">
        <f t="shared" si="72"/>
        <v/>
      </c>
      <c r="Z1580" s="661" t="str">
        <f t="shared" si="73"/>
        <v/>
      </c>
    </row>
    <row r="1581" spans="1:26" s="128" customFormat="1">
      <c r="A1581" s="655">
        <v>60865</v>
      </c>
      <c r="B1581" s="656" t="s">
        <v>33</v>
      </c>
      <c r="C1581" s="655" t="s">
        <v>2793</v>
      </c>
      <c r="D1581" s="656" t="s">
        <v>2020</v>
      </c>
      <c r="E1581" s="656" t="s">
        <v>2020</v>
      </c>
      <c r="F1581" s="655">
        <v>60521</v>
      </c>
      <c r="G1581" s="656" t="s">
        <v>81</v>
      </c>
      <c r="H1581" s="656" t="s">
        <v>1183</v>
      </c>
      <c r="I1581" s="656" t="s">
        <v>58</v>
      </c>
      <c r="J1581" s="655">
        <v>22</v>
      </c>
      <c r="K1581" s="655">
        <v>2</v>
      </c>
      <c r="L1581" s="656" t="s">
        <v>52</v>
      </c>
      <c r="M1581" s="656" t="s">
        <v>71</v>
      </c>
      <c r="N1581" s="656" t="s">
        <v>72</v>
      </c>
      <c r="O1581" s="656" t="s">
        <v>72</v>
      </c>
      <c r="P1581" s="656" t="s">
        <v>1176</v>
      </c>
      <c r="Q1581" s="657">
        <v>0</v>
      </c>
      <c r="R1581" s="657">
        <v>0</v>
      </c>
      <c r="S1581" s="657">
        <v>58099</v>
      </c>
      <c r="T1581" s="657">
        <v>58099</v>
      </c>
      <c r="U1581" s="657">
        <v>6570</v>
      </c>
      <c r="V1581" s="655">
        <v>2021</v>
      </c>
      <c r="W1581" s="659"/>
      <c r="X1581" s="660">
        <f t="shared" si="74"/>
        <v>8.843074581430745</v>
      </c>
      <c r="Y1581" s="661" t="str">
        <f t="shared" si="72"/>
        <v/>
      </c>
      <c r="Z1581" s="661" t="str">
        <f t="shared" si="73"/>
        <v/>
      </c>
    </row>
    <row r="1582" spans="1:26" s="128" customFormat="1">
      <c r="A1582" s="655">
        <v>60866</v>
      </c>
      <c r="B1582" s="656" t="s">
        <v>33</v>
      </c>
      <c r="C1582" s="655" t="s">
        <v>2793</v>
      </c>
      <c r="D1582" s="656" t="s">
        <v>2021</v>
      </c>
      <c r="E1582" s="656" t="s">
        <v>2022</v>
      </c>
      <c r="F1582" s="655">
        <v>60484</v>
      </c>
      <c r="G1582" s="656" t="s">
        <v>81</v>
      </c>
      <c r="H1582" s="656" t="s">
        <v>1183</v>
      </c>
      <c r="I1582" s="656" t="s">
        <v>58</v>
      </c>
      <c r="J1582" s="655">
        <v>22</v>
      </c>
      <c r="K1582" s="655">
        <v>2</v>
      </c>
      <c r="L1582" s="656" t="s">
        <v>52</v>
      </c>
      <c r="M1582" s="656" t="s">
        <v>448</v>
      </c>
      <c r="N1582" s="656" t="s">
        <v>449</v>
      </c>
      <c r="O1582" s="656" t="s">
        <v>449</v>
      </c>
      <c r="P1582" s="656" t="s">
        <v>1176</v>
      </c>
      <c r="Q1582" s="657">
        <v>0</v>
      </c>
      <c r="R1582" s="657">
        <v>0</v>
      </c>
      <c r="S1582" s="657">
        <v>54606</v>
      </c>
      <c r="T1582" s="657">
        <v>54606</v>
      </c>
      <c r="U1582" s="657">
        <v>6175</v>
      </c>
      <c r="V1582" s="655">
        <v>2021</v>
      </c>
      <c r="W1582" s="659"/>
      <c r="X1582" s="660">
        <f t="shared" si="74"/>
        <v>8.8430769230769233</v>
      </c>
      <c r="Y1582" s="661" t="str">
        <f t="shared" si="72"/>
        <v/>
      </c>
      <c r="Z1582" s="661" t="str">
        <f t="shared" si="73"/>
        <v/>
      </c>
    </row>
    <row r="1583" spans="1:26" s="128" customFormat="1">
      <c r="A1583" s="655">
        <v>60867</v>
      </c>
      <c r="B1583" s="656" t="s">
        <v>33</v>
      </c>
      <c r="C1583" s="655" t="s">
        <v>2793</v>
      </c>
      <c r="D1583" s="656" t="s">
        <v>2023</v>
      </c>
      <c r="E1583" s="656" t="s">
        <v>1758</v>
      </c>
      <c r="F1583" s="655">
        <v>59232</v>
      </c>
      <c r="G1583" s="656" t="s">
        <v>81</v>
      </c>
      <c r="H1583" s="656" t="s">
        <v>1183</v>
      </c>
      <c r="I1583" s="656" t="s">
        <v>58</v>
      </c>
      <c r="J1583" s="655">
        <v>22</v>
      </c>
      <c r="K1583" s="655">
        <v>2</v>
      </c>
      <c r="L1583" s="656" t="s">
        <v>52</v>
      </c>
      <c r="M1583" s="656" t="s">
        <v>448</v>
      </c>
      <c r="N1583" s="656" t="s">
        <v>449</v>
      </c>
      <c r="O1583" s="656" t="s">
        <v>449</v>
      </c>
      <c r="P1583" s="656" t="s">
        <v>1176</v>
      </c>
      <c r="Q1583" s="657">
        <v>0</v>
      </c>
      <c r="R1583" s="657">
        <v>0</v>
      </c>
      <c r="S1583" s="657">
        <v>51513</v>
      </c>
      <c r="T1583" s="657">
        <v>51513</v>
      </c>
      <c r="U1583" s="657">
        <v>5825</v>
      </c>
      <c r="V1583" s="655">
        <v>2021</v>
      </c>
      <c r="W1583" s="659"/>
      <c r="X1583" s="660">
        <f t="shared" si="74"/>
        <v>8.8434334763948499</v>
      </c>
      <c r="Y1583" s="661" t="str">
        <f t="shared" si="72"/>
        <v/>
      </c>
      <c r="Z1583" s="661" t="str">
        <f t="shared" si="73"/>
        <v/>
      </c>
    </row>
    <row r="1584" spans="1:26" s="128" customFormat="1" ht="25" hidden="1">
      <c r="A1584" s="655">
        <v>60874</v>
      </c>
      <c r="B1584" s="656" t="s">
        <v>33</v>
      </c>
      <c r="C1584" s="655" t="s">
        <v>2793</v>
      </c>
      <c r="D1584" s="656" t="s">
        <v>2024</v>
      </c>
      <c r="E1584" s="656" t="s">
        <v>132</v>
      </c>
      <c r="F1584" s="655">
        <v>7601</v>
      </c>
      <c r="G1584" s="656" t="s">
        <v>89</v>
      </c>
      <c r="H1584" s="656" t="s">
        <v>1183</v>
      </c>
      <c r="I1584" s="656" t="s">
        <v>58</v>
      </c>
      <c r="J1584" s="655">
        <v>22</v>
      </c>
      <c r="K1584" s="655">
        <v>1</v>
      </c>
      <c r="L1584" s="656" t="s">
        <v>34</v>
      </c>
      <c r="M1584" s="656" t="s">
        <v>448</v>
      </c>
      <c r="N1584" s="656" t="s">
        <v>449</v>
      </c>
      <c r="O1584" s="656" t="s">
        <v>449</v>
      </c>
      <c r="P1584" s="656" t="s">
        <v>1176</v>
      </c>
      <c r="Q1584" s="657">
        <v>0</v>
      </c>
      <c r="R1584" s="657">
        <v>0</v>
      </c>
      <c r="S1584" s="657">
        <v>64243</v>
      </c>
      <c r="T1584" s="657">
        <v>64243</v>
      </c>
      <c r="U1584" s="657">
        <v>7265</v>
      </c>
      <c r="V1584" s="655">
        <v>2021</v>
      </c>
      <c r="W1584" s="659"/>
      <c r="X1584" s="660">
        <f t="shared" si="74"/>
        <v>8.8428079834824498</v>
      </c>
      <c r="Y1584" s="661" t="str">
        <f t="shared" si="72"/>
        <v/>
      </c>
      <c r="Z1584" s="661" t="str">
        <f t="shared" si="73"/>
        <v/>
      </c>
    </row>
    <row r="1585" spans="1:26" s="128" customFormat="1" ht="25" hidden="1">
      <c r="A1585" s="655">
        <v>60875</v>
      </c>
      <c r="B1585" s="656" t="s">
        <v>33</v>
      </c>
      <c r="C1585" s="655" t="s">
        <v>2793</v>
      </c>
      <c r="D1585" s="656" t="s">
        <v>2025</v>
      </c>
      <c r="E1585" s="656" t="s">
        <v>132</v>
      </c>
      <c r="F1585" s="655">
        <v>7601</v>
      </c>
      <c r="G1585" s="656" t="s">
        <v>89</v>
      </c>
      <c r="H1585" s="656" t="s">
        <v>1183</v>
      </c>
      <c r="I1585" s="656" t="s">
        <v>58</v>
      </c>
      <c r="J1585" s="655">
        <v>22</v>
      </c>
      <c r="K1585" s="655">
        <v>1</v>
      </c>
      <c r="L1585" s="656" t="s">
        <v>34</v>
      </c>
      <c r="M1585" s="656" t="s">
        <v>448</v>
      </c>
      <c r="N1585" s="656" t="s">
        <v>449</v>
      </c>
      <c r="O1585" s="656" t="s">
        <v>449</v>
      </c>
      <c r="P1585" s="656" t="s">
        <v>1176</v>
      </c>
      <c r="Q1585" s="657">
        <v>0</v>
      </c>
      <c r="R1585" s="657">
        <v>0</v>
      </c>
      <c r="S1585" s="657">
        <v>60398</v>
      </c>
      <c r="T1585" s="657">
        <v>60398</v>
      </c>
      <c r="U1585" s="657">
        <v>6830</v>
      </c>
      <c r="V1585" s="655">
        <v>2021</v>
      </c>
      <c r="W1585" s="659"/>
      <c r="X1585" s="660">
        <f t="shared" si="74"/>
        <v>8.8430453879941435</v>
      </c>
      <c r="Y1585" s="661" t="str">
        <f t="shared" si="72"/>
        <v/>
      </c>
      <c r="Z1585" s="661" t="str">
        <f t="shared" si="73"/>
        <v/>
      </c>
    </row>
    <row r="1586" spans="1:26" s="128" customFormat="1" ht="25" hidden="1">
      <c r="A1586" s="655">
        <v>60877</v>
      </c>
      <c r="B1586" s="656" t="s">
        <v>33</v>
      </c>
      <c r="C1586" s="655" t="s">
        <v>2793</v>
      </c>
      <c r="D1586" s="656" t="s">
        <v>2026</v>
      </c>
      <c r="E1586" s="656" t="s">
        <v>132</v>
      </c>
      <c r="F1586" s="655">
        <v>7601</v>
      </c>
      <c r="G1586" s="656" t="s">
        <v>89</v>
      </c>
      <c r="H1586" s="656" t="s">
        <v>1183</v>
      </c>
      <c r="I1586" s="656" t="s">
        <v>58</v>
      </c>
      <c r="J1586" s="655">
        <v>22</v>
      </c>
      <c r="K1586" s="655">
        <v>1</v>
      </c>
      <c r="L1586" s="656" t="s">
        <v>34</v>
      </c>
      <c r="M1586" s="656" t="s">
        <v>448</v>
      </c>
      <c r="N1586" s="656" t="s">
        <v>449</v>
      </c>
      <c r="O1586" s="656" t="s">
        <v>449</v>
      </c>
      <c r="P1586" s="656" t="s">
        <v>1176</v>
      </c>
      <c r="Q1586" s="657">
        <v>0</v>
      </c>
      <c r="R1586" s="657">
        <v>0</v>
      </c>
      <c r="S1586" s="657">
        <v>61238</v>
      </c>
      <c r="T1586" s="657">
        <v>61238</v>
      </c>
      <c r="U1586" s="657">
        <v>6925</v>
      </c>
      <c r="V1586" s="655">
        <v>2021</v>
      </c>
      <c r="W1586" s="659"/>
      <c r="X1586" s="660">
        <f t="shared" si="74"/>
        <v>8.8430324909747284</v>
      </c>
      <c r="Y1586" s="661" t="str">
        <f t="shared" si="72"/>
        <v/>
      </c>
      <c r="Z1586" s="661" t="str">
        <f t="shared" si="73"/>
        <v/>
      </c>
    </row>
    <row r="1587" spans="1:26" s="128" customFormat="1">
      <c r="A1587" s="655">
        <v>60878</v>
      </c>
      <c r="B1587" s="656" t="s">
        <v>33</v>
      </c>
      <c r="C1587" s="655" t="s">
        <v>2793</v>
      </c>
      <c r="D1587" s="656" t="s">
        <v>2161</v>
      </c>
      <c r="E1587" s="656" t="s">
        <v>2027</v>
      </c>
      <c r="F1587" s="655">
        <v>60529</v>
      </c>
      <c r="G1587" s="656" t="s">
        <v>81</v>
      </c>
      <c r="H1587" s="656" t="s">
        <v>1183</v>
      </c>
      <c r="I1587" s="656" t="s">
        <v>58</v>
      </c>
      <c r="J1587" s="655">
        <v>22</v>
      </c>
      <c r="K1587" s="655">
        <v>2</v>
      </c>
      <c r="L1587" s="656" t="s">
        <v>52</v>
      </c>
      <c r="M1587" s="656" t="s">
        <v>448</v>
      </c>
      <c r="N1587" s="656" t="s">
        <v>449</v>
      </c>
      <c r="O1587" s="656" t="s">
        <v>449</v>
      </c>
      <c r="P1587" s="656" t="s">
        <v>1176</v>
      </c>
      <c r="Q1587" s="657">
        <v>0</v>
      </c>
      <c r="R1587" s="657">
        <v>0</v>
      </c>
      <c r="S1587" s="657">
        <v>27784</v>
      </c>
      <c r="T1587" s="657">
        <v>27784</v>
      </c>
      <c r="U1587" s="657">
        <v>3142</v>
      </c>
      <c r="V1587" s="655">
        <v>2021</v>
      </c>
      <c r="W1587" s="659"/>
      <c r="X1587" s="660">
        <f t="shared" si="74"/>
        <v>8.8427753023551876</v>
      </c>
      <c r="Y1587" s="661" t="str">
        <f t="shared" si="72"/>
        <v/>
      </c>
      <c r="Z1587" s="661" t="str">
        <f t="shared" si="73"/>
        <v/>
      </c>
    </row>
    <row r="1588" spans="1:26" s="128" customFormat="1">
      <c r="A1588" s="655">
        <v>60879</v>
      </c>
      <c r="B1588" s="656" t="s">
        <v>33</v>
      </c>
      <c r="C1588" s="655" t="s">
        <v>2793</v>
      </c>
      <c r="D1588" s="656" t="s">
        <v>2162</v>
      </c>
      <c r="E1588" s="656" t="s">
        <v>2028</v>
      </c>
      <c r="F1588" s="655">
        <v>60530</v>
      </c>
      <c r="G1588" s="656" t="s">
        <v>81</v>
      </c>
      <c r="H1588" s="656" t="s">
        <v>1183</v>
      </c>
      <c r="I1588" s="656" t="s">
        <v>58</v>
      </c>
      <c r="J1588" s="655">
        <v>22</v>
      </c>
      <c r="K1588" s="655">
        <v>2</v>
      </c>
      <c r="L1588" s="656" t="s">
        <v>52</v>
      </c>
      <c r="M1588" s="656" t="s">
        <v>448</v>
      </c>
      <c r="N1588" s="656" t="s">
        <v>449</v>
      </c>
      <c r="O1588" s="656" t="s">
        <v>449</v>
      </c>
      <c r="P1588" s="656" t="s">
        <v>1176</v>
      </c>
      <c r="Q1588" s="657">
        <v>0</v>
      </c>
      <c r="R1588" s="657">
        <v>0</v>
      </c>
      <c r="S1588" s="657">
        <v>16676</v>
      </c>
      <c r="T1588" s="657">
        <v>16676</v>
      </c>
      <c r="U1588" s="657">
        <v>1886</v>
      </c>
      <c r="V1588" s="655">
        <v>2021</v>
      </c>
      <c r="W1588" s="659"/>
      <c r="X1588" s="660">
        <f t="shared" si="74"/>
        <v>8.8419936373276773</v>
      </c>
      <c r="Y1588" s="661" t="str">
        <f t="shared" si="72"/>
        <v/>
      </c>
      <c r="Z1588" s="661" t="str">
        <f t="shared" si="73"/>
        <v/>
      </c>
    </row>
    <row r="1589" spans="1:26" s="128" customFormat="1" ht="25" hidden="1">
      <c r="A1589" s="655">
        <v>60880</v>
      </c>
      <c r="B1589" s="656" t="s">
        <v>33</v>
      </c>
      <c r="C1589" s="655" t="s">
        <v>2793</v>
      </c>
      <c r="D1589" s="656" t="s">
        <v>2355</v>
      </c>
      <c r="E1589" s="656" t="s">
        <v>2029</v>
      </c>
      <c r="F1589" s="655">
        <v>60911</v>
      </c>
      <c r="G1589" s="656" t="s">
        <v>41</v>
      </c>
      <c r="H1589" s="656" t="s">
        <v>1183</v>
      </c>
      <c r="I1589" s="656" t="s">
        <v>58</v>
      </c>
      <c r="J1589" s="655">
        <v>22</v>
      </c>
      <c r="K1589" s="655">
        <v>2</v>
      </c>
      <c r="L1589" s="656" t="s">
        <v>52</v>
      </c>
      <c r="M1589" s="656" t="s">
        <v>448</v>
      </c>
      <c r="N1589" s="656" t="s">
        <v>449</v>
      </c>
      <c r="O1589" s="656" t="s">
        <v>449</v>
      </c>
      <c r="P1589" s="656" t="s">
        <v>1176</v>
      </c>
      <c r="Q1589" s="657">
        <v>0</v>
      </c>
      <c r="R1589" s="657">
        <v>0</v>
      </c>
      <c r="S1589" s="657">
        <v>26999</v>
      </c>
      <c r="T1589" s="657">
        <v>26999</v>
      </c>
      <c r="U1589" s="657">
        <v>3053</v>
      </c>
      <c r="V1589" s="655">
        <v>2021</v>
      </c>
      <c r="W1589" s="659"/>
      <c r="X1589" s="660">
        <f t="shared" si="74"/>
        <v>8.8434326891582042</v>
      </c>
      <c r="Y1589" s="661" t="str">
        <f t="shared" si="72"/>
        <v/>
      </c>
      <c r="Z1589" s="661" t="str">
        <f t="shared" si="73"/>
        <v/>
      </c>
    </row>
    <row r="1590" spans="1:26" s="128" customFormat="1" ht="25">
      <c r="A1590" s="655">
        <v>60903</v>
      </c>
      <c r="B1590" s="656" t="s">
        <v>33</v>
      </c>
      <c r="C1590" s="655" t="s">
        <v>2793</v>
      </c>
      <c r="D1590" s="656" t="s">
        <v>3378</v>
      </c>
      <c r="E1590" s="656" t="s">
        <v>3378</v>
      </c>
      <c r="F1590" s="655">
        <v>59928</v>
      </c>
      <c r="G1590" s="656" t="s">
        <v>81</v>
      </c>
      <c r="H1590" s="656" t="s">
        <v>1183</v>
      </c>
      <c r="I1590" s="656" t="s">
        <v>58</v>
      </c>
      <c r="J1590" s="655">
        <v>22</v>
      </c>
      <c r="K1590" s="655">
        <v>2</v>
      </c>
      <c r="L1590" s="656" t="s">
        <v>52</v>
      </c>
      <c r="M1590" s="656" t="s">
        <v>38</v>
      </c>
      <c r="N1590" s="656" t="s">
        <v>39</v>
      </c>
      <c r="O1590" s="656" t="s">
        <v>39</v>
      </c>
      <c r="P1590" s="656" t="s">
        <v>1037</v>
      </c>
      <c r="Q1590" s="657">
        <v>29035</v>
      </c>
      <c r="R1590" s="657">
        <v>29035</v>
      </c>
      <c r="S1590" s="657">
        <v>29913</v>
      </c>
      <c r="T1590" s="657">
        <v>29913</v>
      </c>
      <c r="U1590" s="657">
        <v>270220</v>
      </c>
      <c r="V1590" s="655">
        <v>2021</v>
      </c>
      <c r="W1590" s="659" t="s">
        <v>3675</v>
      </c>
      <c r="X1590" s="660">
        <f t="shared" si="74"/>
        <v>0.11069868995633188</v>
      </c>
      <c r="Y1590" s="661" t="str">
        <f t="shared" si="72"/>
        <v/>
      </c>
      <c r="Z1590" s="661" t="str">
        <f t="shared" si="73"/>
        <v/>
      </c>
    </row>
    <row r="1591" spans="1:26" s="128" customFormat="1" ht="25">
      <c r="A1591" s="655">
        <v>60903</v>
      </c>
      <c r="B1591" s="656" t="s">
        <v>33</v>
      </c>
      <c r="C1591" s="655" t="s">
        <v>2793</v>
      </c>
      <c r="D1591" s="656" t="s">
        <v>3378</v>
      </c>
      <c r="E1591" s="656" t="s">
        <v>3378</v>
      </c>
      <c r="F1591" s="655">
        <v>59928</v>
      </c>
      <c r="G1591" s="656" t="s">
        <v>81</v>
      </c>
      <c r="H1591" s="656" t="s">
        <v>1183</v>
      </c>
      <c r="I1591" s="656" t="s">
        <v>58</v>
      </c>
      <c r="J1591" s="655">
        <v>22</v>
      </c>
      <c r="K1591" s="655">
        <v>2</v>
      </c>
      <c r="L1591" s="656" t="s">
        <v>52</v>
      </c>
      <c r="M1591" s="656" t="s">
        <v>41</v>
      </c>
      <c r="N1591" s="656" t="s">
        <v>39</v>
      </c>
      <c r="O1591" s="656" t="s">
        <v>39</v>
      </c>
      <c r="P1591" s="656" t="s">
        <v>1037</v>
      </c>
      <c r="Q1591" s="657">
        <v>5779805</v>
      </c>
      <c r="R1591" s="657">
        <v>5779805</v>
      </c>
      <c r="S1591" s="657">
        <v>5986118</v>
      </c>
      <c r="T1591" s="657">
        <v>5986118</v>
      </c>
      <c r="U1591" s="657">
        <v>461793</v>
      </c>
      <c r="V1591" s="655">
        <v>2021</v>
      </c>
      <c r="W1591" s="659" t="s">
        <v>3675</v>
      </c>
      <c r="X1591" s="660">
        <f t="shared" si="74"/>
        <v>12.962773363823185</v>
      </c>
      <c r="Y1591" s="661" t="str">
        <f t="shared" si="72"/>
        <v/>
      </c>
      <c r="Z1591" s="661" t="str">
        <f t="shared" si="73"/>
        <v/>
      </c>
    </row>
    <row r="1592" spans="1:26" s="128" customFormat="1" ht="25" hidden="1">
      <c r="A1592" s="655">
        <v>60904</v>
      </c>
      <c r="B1592" s="656" t="s">
        <v>33</v>
      </c>
      <c r="C1592" s="655" t="s">
        <v>2793</v>
      </c>
      <c r="D1592" s="656" t="s">
        <v>2163</v>
      </c>
      <c r="E1592" s="656" t="s">
        <v>1922</v>
      </c>
      <c r="F1592" s="655">
        <v>60947</v>
      </c>
      <c r="G1592" s="656" t="s">
        <v>57</v>
      </c>
      <c r="H1592" s="656" t="s">
        <v>1182</v>
      </c>
      <c r="I1592" s="656" t="s">
        <v>58</v>
      </c>
      <c r="J1592" s="655">
        <v>22</v>
      </c>
      <c r="K1592" s="655">
        <v>2</v>
      </c>
      <c r="L1592" s="656" t="s">
        <v>52</v>
      </c>
      <c r="M1592" s="656" t="s">
        <v>448</v>
      </c>
      <c r="N1592" s="656" t="s">
        <v>449</v>
      </c>
      <c r="O1592" s="656" t="s">
        <v>449</v>
      </c>
      <c r="P1592" s="656" t="s">
        <v>1176</v>
      </c>
      <c r="Q1592" s="657">
        <v>0</v>
      </c>
      <c r="R1592" s="657">
        <v>0</v>
      </c>
      <c r="S1592" s="657">
        <v>25725</v>
      </c>
      <c r="T1592" s="657">
        <v>25725</v>
      </c>
      <c r="U1592" s="657">
        <v>2909</v>
      </c>
      <c r="V1592" s="655">
        <v>2021</v>
      </c>
      <c r="W1592" s="659"/>
      <c r="X1592" s="660">
        <f t="shared" si="74"/>
        <v>8.8432451014094191</v>
      </c>
      <c r="Y1592" s="661" t="str">
        <f t="shared" si="72"/>
        <v/>
      </c>
      <c r="Z1592" s="661" t="str">
        <f t="shared" si="73"/>
        <v/>
      </c>
    </row>
    <row r="1593" spans="1:26" s="128" customFormat="1" ht="25">
      <c r="A1593" s="655">
        <v>60906</v>
      </c>
      <c r="B1593" s="656" t="s">
        <v>33</v>
      </c>
      <c r="C1593" s="655" t="s">
        <v>2793</v>
      </c>
      <c r="D1593" s="656" t="s">
        <v>2825</v>
      </c>
      <c r="E1593" s="656" t="s">
        <v>2030</v>
      </c>
      <c r="F1593" s="655">
        <v>60471</v>
      </c>
      <c r="G1593" s="656" t="s">
        <v>81</v>
      </c>
      <c r="H1593" s="656" t="s">
        <v>1183</v>
      </c>
      <c r="I1593" s="656" t="s">
        <v>58</v>
      </c>
      <c r="J1593" s="655">
        <v>22</v>
      </c>
      <c r="K1593" s="655">
        <v>2</v>
      </c>
      <c r="L1593" s="656" t="s">
        <v>52</v>
      </c>
      <c r="M1593" s="656" t="s">
        <v>1890</v>
      </c>
      <c r="N1593" s="656" t="s">
        <v>1052</v>
      </c>
      <c r="O1593" s="656" t="s">
        <v>82</v>
      </c>
      <c r="P1593" s="656" t="s">
        <v>2794</v>
      </c>
      <c r="Q1593" s="657">
        <v>574</v>
      </c>
      <c r="R1593" s="657">
        <v>574</v>
      </c>
      <c r="S1593" s="657">
        <v>0</v>
      </c>
      <c r="T1593" s="657">
        <v>0</v>
      </c>
      <c r="U1593" s="657">
        <v>-301</v>
      </c>
      <c r="V1593" s="655">
        <v>2021</v>
      </c>
      <c r="W1593" s="659"/>
      <c r="X1593" s="660" t="str">
        <f t="shared" si="74"/>
        <v/>
      </c>
      <c r="Y1593" s="661" t="str">
        <f t="shared" si="72"/>
        <v/>
      </c>
      <c r="Z1593" s="661" t="str">
        <f t="shared" si="73"/>
        <v/>
      </c>
    </row>
    <row r="1594" spans="1:26" s="128" customFormat="1" ht="25">
      <c r="A1594" s="655">
        <v>60906</v>
      </c>
      <c r="B1594" s="656" t="s">
        <v>33</v>
      </c>
      <c r="C1594" s="655" t="s">
        <v>2793</v>
      </c>
      <c r="D1594" s="656" t="s">
        <v>2825</v>
      </c>
      <c r="E1594" s="656" t="s">
        <v>2030</v>
      </c>
      <c r="F1594" s="655">
        <v>60471</v>
      </c>
      <c r="G1594" s="656" t="s">
        <v>81</v>
      </c>
      <c r="H1594" s="656" t="s">
        <v>1183</v>
      </c>
      <c r="I1594" s="656" t="s">
        <v>58</v>
      </c>
      <c r="J1594" s="655">
        <v>22</v>
      </c>
      <c r="K1594" s="655">
        <v>2</v>
      </c>
      <c r="L1594" s="656" t="s">
        <v>52</v>
      </c>
      <c r="M1594" s="656" t="s">
        <v>448</v>
      </c>
      <c r="N1594" s="656" t="s">
        <v>449</v>
      </c>
      <c r="O1594" s="656" t="s">
        <v>449</v>
      </c>
      <c r="P1594" s="656" t="s">
        <v>1176</v>
      </c>
      <c r="Q1594" s="657">
        <v>0</v>
      </c>
      <c r="R1594" s="657">
        <v>0</v>
      </c>
      <c r="S1594" s="657">
        <v>56154</v>
      </c>
      <c r="T1594" s="657">
        <v>56154</v>
      </c>
      <c r="U1594" s="657">
        <v>6350</v>
      </c>
      <c r="V1594" s="655">
        <v>2021</v>
      </c>
      <c r="W1594" s="659"/>
      <c r="X1594" s="660">
        <f t="shared" si="74"/>
        <v>8.8431496062992121</v>
      </c>
      <c r="Y1594" s="661" t="str">
        <f t="shared" si="72"/>
        <v/>
      </c>
      <c r="Z1594" s="661" t="str">
        <f t="shared" si="73"/>
        <v/>
      </c>
    </row>
    <row r="1595" spans="1:26" s="128" customFormat="1" ht="25">
      <c r="A1595" s="655">
        <v>60908</v>
      </c>
      <c r="B1595" s="656" t="s">
        <v>33</v>
      </c>
      <c r="C1595" s="655" t="s">
        <v>2793</v>
      </c>
      <c r="D1595" s="656" t="s">
        <v>2164</v>
      </c>
      <c r="E1595" s="656" t="s">
        <v>2165</v>
      </c>
      <c r="F1595" s="655">
        <v>60541</v>
      </c>
      <c r="G1595" s="656" t="s">
        <v>81</v>
      </c>
      <c r="H1595" s="656" t="s">
        <v>1183</v>
      </c>
      <c r="I1595" s="656" t="s">
        <v>58</v>
      </c>
      <c r="J1595" s="655">
        <v>22</v>
      </c>
      <c r="K1595" s="655">
        <v>2</v>
      </c>
      <c r="L1595" s="656" t="s">
        <v>52</v>
      </c>
      <c r="M1595" s="656" t="s">
        <v>448</v>
      </c>
      <c r="N1595" s="656" t="s">
        <v>449</v>
      </c>
      <c r="O1595" s="656" t="s">
        <v>449</v>
      </c>
      <c r="P1595" s="656" t="s">
        <v>1176</v>
      </c>
      <c r="Q1595" s="657">
        <v>0</v>
      </c>
      <c r="R1595" s="657">
        <v>0</v>
      </c>
      <c r="S1595" s="657">
        <v>32641</v>
      </c>
      <c r="T1595" s="657">
        <v>32641</v>
      </c>
      <c r="U1595" s="657">
        <v>3691</v>
      </c>
      <c r="V1595" s="655">
        <v>2021</v>
      </c>
      <c r="W1595" s="659"/>
      <c r="X1595" s="660">
        <f t="shared" si="74"/>
        <v>8.8434028718504472</v>
      </c>
      <c r="Y1595" s="661" t="str">
        <f t="shared" si="72"/>
        <v/>
      </c>
      <c r="Z1595" s="661" t="str">
        <f t="shared" si="73"/>
        <v/>
      </c>
    </row>
    <row r="1596" spans="1:26" s="128" customFormat="1" ht="25" hidden="1">
      <c r="A1596" s="655">
        <v>60909</v>
      </c>
      <c r="B1596" s="656" t="s">
        <v>33</v>
      </c>
      <c r="C1596" s="655" t="s">
        <v>2793</v>
      </c>
      <c r="D1596" s="656" t="s">
        <v>2031</v>
      </c>
      <c r="E1596" s="656" t="s">
        <v>2032</v>
      </c>
      <c r="F1596" s="655">
        <v>60166</v>
      </c>
      <c r="G1596" s="656" t="s">
        <v>41</v>
      </c>
      <c r="H1596" s="656" t="s">
        <v>1183</v>
      </c>
      <c r="I1596" s="656" t="s">
        <v>58</v>
      </c>
      <c r="J1596" s="655">
        <v>22</v>
      </c>
      <c r="K1596" s="655">
        <v>2</v>
      </c>
      <c r="L1596" s="656" t="s">
        <v>52</v>
      </c>
      <c r="M1596" s="656" t="s">
        <v>448</v>
      </c>
      <c r="N1596" s="656" t="s">
        <v>449</v>
      </c>
      <c r="O1596" s="656" t="s">
        <v>449</v>
      </c>
      <c r="P1596" s="656" t="s">
        <v>1176</v>
      </c>
      <c r="Q1596" s="657">
        <v>0</v>
      </c>
      <c r="R1596" s="657">
        <v>0</v>
      </c>
      <c r="S1596" s="657">
        <v>13168</v>
      </c>
      <c r="T1596" s="657">
        <v>13168</v>
      </c>
      <c r="U1596" s="657">
        <v>1489</v>
      </c>
      <c r="V1596" s="655">
        <v>2021</v>
      </c>
      <c r="W1596" s="659"/>
      <c r="X1596" s="660">
        <f t="shared" si="74"/>
        <v>8.843519140362659</v>
      </c>
      <c r="Y1596" s="661" t="str">
        <f t="shared" si="72"/>
        <v/>
      </c>
      <c r="Z1596" s="661" t="str">
        <f t="shared" si="73"/>
        <v/>
      </c>
    </row>
    <row r="1597" spans="1:26" s="128" customFormat="1" hidden="1">
      <c r="A1597" s="655">
        <v>60912</v>
      </c>
      <c r="B1597" s="656" t="s">
        <v>33</v>
      </c>
      <c r="C1597" s="655" t="s">
        <v>2793</v>
      </c>
      <c r="D1597" s="656" t="s">
        <v>2033</v>
      </c>
      <c r="E1597" s="656" t="s">
        <v>3139</v>
      </c>
      <c r="F1597" s="655">
        <v>60571</v>
      </c>
      <c r="G1597" s="656" t="s">
        <v>89</v>
      </c>
      <c r="H1597" s="656" t="s">
        <v>1183</v>
      </c>
      <c r="I1597" s="656" t="s">
        <v>58</v>
      </c>
      <c r="J1597" s="655">
        <v>22</v>
      </c>
      <c r="K1597" s="655">
        <v>2</v>
      </c>
      <c r="L1597" s="656" t="s">
        <v>52</v>
      </c>
      <c r="M1597" s="656" t="s">
        <v>448</v>
      </c>
      <c r="N1597" s="656" t="s">
        <v>449</v>
      </c>
      <c r="O1597" s="656" t="s">
        <v>449</v>
      </c>
      <c r="P1597" s="656" t="s">
        <v>1176</v>
      </c>
      <c r="Q1597" s="657">
        <v>0</v>
      </c>
      <c r="R1597" s="657">
        <v>0</v>
      </c>
      <c r="S1597" s="657">
        <v>29101</v>
      </c>
      <c r="T1597" s="657">
        <v>29101</v>
      </c>
      <c r="U1597" s="657">
        <v>3291</v>
      </c>
      <c r="V1597" s="655">
        <v>2021</v>
      </c>
      <c r="W1597" s="659"/>
      <c r="X1597" s="660">
        <f t="shared" si="74"/>
        <v>8.8426010331206317</v>
      </c>
      <c r="Y1597" s="661" t="str">
        <f t="shared" si="72"/>
        <v/>
      </c>
      <c r="Z1597" s="661" t="str">
        <f t="shared" si="73"/>
        <v/>
      </c>
    </row>
    <row r="1598" spans="1:26" s="128" customFormat="1" hidden="1">
      <c r="A1598" s="655">
        <v>60954</v>
      </c>
      <c r="B1598" s="656" t="s">
        <v>33</v>
      </c>
      <c r="C1598" s="655" t="s">
        <v>2793</v>
      </c>
      <c r="D1598" s="656" t="s">
        <v>2166</v>
      </c>
      <c r="E1598" s="656" t="s">
        <v>2019</v>
      </c>
      <c r="F1598" s="655">
        <v>60520</v>
      </c>
      <c r="G1598" s="656" t="s">
        <v>89</v>
      </c>
      <c r="H1598" s="656" t="s">
        <v>1183</v>
      </c>
      <c r="I1598" s="656" t="s">
        <v>58</v>
      </c>
      <c r="J1598" s="655">
        <v>22</v>
      </c>
      <c r="K1598" s="655">
        <v>2</v>
      </c>
      <c r="L1598" s="656" t="s">
        <v>52</v>
      </c>
      <c r="M1598" s="656" t="s">
        <v>448</v>
      </c>
      <c r="N1598" s="656" t="s">
        <v>449</v>
      </c>
      <c r="O1598" s="656" t="s">
        <v>449</v>
      </c>
      <c r="P1598" s="656" t="s">
        <v>1176</v>
      </c>
      <c r="Q1598" s="657">
        <v>0</v>
      </c>
      <c r="R1598" s="657">
        <v>0</v>
      </c>
      <c r="S1598" s="657">
        <v>14316</v>
      </c>
      <c r="T1598" s="657">
        <v>14316</v>
      </c>
      <c r="U1598" s="657">
        <v>1619</v>
      </c>
      <c r="V1598" s="655">
        <v>2021</v>
      </c>
      <c r="W1598" s="659"/>
      <c r="X1598" s="660">
        <f t="shared" si="74"/>
        <v>8.8424953675108089</v>
      </c>
      <c r="Y1598" s="661" t="str">
        <f t="shared" si="72"/>
        <v/>
      </c>
      <c r="Z1598" s="661" t="str">
        <f t="shared" si="73"/>
        <v/>
      </c>
    </row>
    <row r="1599" spans="1:26" s="128" customFormat="1" ht="25">
      <c r="A1599" s="655">
        <v>60959</v>
      </c>
      <c r="B1599" s="656" t="s">
        <v>33</v>
      </c>
      <c r="C1599" s="655" t="s">
        <v>2793</v>
      </c>
      <c r="D1599" s="656" t="s">
        <v>2034</v>
      </c>
      <c r="E1599" s="656" t="s">
        <v>2035</v>
      </c>
      <c r="F1599" s="655">
        <v>58375</v>
      </c>
      <c r="G1599" s="656" t="s">
        <v>81</v>
      </c>
      <c r="H1599" s="656" t="s">
        <v>1183</v>
      </c>
      <c r="I1599" s="656" t="s">
        <v>58</v>
      </c>
      <c r="J1599" s="655">
        <v>22</v>
      </c>
      <c r="K1599" s="655">
        <v>1</v>
      </c>
      <c r="L1599" s="656" t="s">
        <v>34</v>
      </c>
      <c r="M1599" s="656" t="s">
        <v>1890</v>
      </c>
      <c r="N1599" s="656" t="s">
        <v>1052</v>
      </c>
      <c r="O1599" s="656" t="s">
        <v>82</v>
      </c>
      <c r="P1599" s="656" t="s">
        <v>2794</v>
      </c>
      <c r="Q1599" s="657">
        <v>155</v>
      </c>
      <c r="R1599" s="657">
        <v>155</v>
      </c>
      <c r="S1599" s="657">
        <v>0</v>
      </c>
      <c r="T1599" s="657">
        <v>0</v>
      </c>
      <c r="U1599" s="657">
        <v>-40</v>
      </c>
      <c r="V1599" s="655">
        <v>2021</v>
      </c>
      <c r="W1599" s="659"/>
      <c r="X1599" s="660" t="str">
        <f t="shared" si="74"/>
        <v/>
      </c>
      <c r="Y1599" s="661" t="str">
        <f t="shared" si="72"/>
        <v/>
      </c>
      <c r="Z1599" s="661" t="str">
        <f t="shared" si="73"/>
        <v/>
      </c>
    </row>
    <row r="1600" spans="1:26" s="128" customFormat="1" ht="25" hidden="1">
      <c r="A1600" s="655">
        <v>60967</v>
      </c>
      <c r="B1600" s="656" t="s">
        <v>33</v>
      </c>
      <c r="C1600" s="655" t="s">
        <v>2793</v>
      </c>
      <c r="D1600" s="656" t="s">
        <v>2356</v>
      </c>
      <c r="E1600" s="656" t="s">
        <v>2036</v>
      </c>
      <c r="F1600" s="655">
        <v>60584</v>
      </c>
      <c r="G1600" s="656" t="s">
        <v>57</v>
      </c>
      <c r="H1600" s="656" t="s">
        <v>1182</v>
      </c>
      <c r="I1600" s="656" t="s">
        <v>58</v>
      </c>
      <c r="J1600" s="655">
        <v>22</v>
      </c>
      <c r="K1600" s="655">
        <v>2</v>
      </c>
      <c r="L1600" s="656" t="s">
        <v>52</v>
      </c>
      <c r="M1600" s="656" t="s">
        <v>448</v>
      </c>
      <c r="N1600" s="656" t="s">
        <v>449</v>
      </c>
      <c r="O1600" s="656" t="s">
        <v>449</v>
      </c>
      <c r="P1600" s="656" t="s">
        <v>1176</v>
      </c>
      <c r="Q1600" s="657">
        <v>0</v>
      </c>
      <c r="R1600" s="657">
        <v>0</v>
      </c>
      <c r="S1600" s="657">
        <v>24971</v>
      </c>
      <c r="T1600" s="657">
        <v>24971</v>
      </c>
      <c r="U1600" s="657">
        <v>2824</v>
      </c>
      <c r="V1600" s="655">
        <v>2021</v>
      </c>
      <c r="W1600" s="659"/>
      <c r="X1600" s="660">
        <f t="shared" si="74"/>
        <v>8.8424220963172804</v>
      </c>
      <c r="Y1600" s="661" t="str">
        <f t="shared" si="72"/>
        <v/>
      </c>
      <c r="Z1600" s="661" t="str">
        <f t="shared" si="73"/>
        <v/>
      </c>
    </row>
    <row r="1601" spans="1:26" s="128" customFormat="1">
      <c r="A1601" s="655">
        <v>60986</v>
      </c>
      <c r="B1601" s="656" t="s">
        <v>33</v>
      </c>
      <c r="C1601" s="655" t="s">
        <v>2793</v>
      </c>
      <c r="D1601" s="656" t="s">
        <v>3379</v>
      </c>
      <c r="E1601" s="656" t="s">
        <v>2809</v>
      </c>
      <c r="F1601" s="655">
        <v>63249</v>
      </c>
      <c r="G1601" s="656" t="s">
        <v>81</v>
      </c>
      <c r="H1601" s="656" t="s">
        <v>1183</v>
      </c>
      <c r="I1601" s="656" t="s">
        <v>58</v>
      </c>
      <c r="J1601" s="655">
        <v>22</v>
      </c>
      <c r="K1601" s="655">
        <v>2</v>
      </c>
      <c r="L1601" s="656" t="s">
        <v>52</v>
      </c>
      <c r="M1601" s="656" t="s">
        <v>448</v>
      </c>
      <c r="N1601" s="656" t="s">
        <v>449</v>
      </c>
      <c r="O1601" s="656" t="s">
        <v>449</v>
      </c>
      <c r="P1601" s="656" t="s">
        <v>1176</v>
      </c>
      <c r="Q1601" s="657">
        <v>0</v>
      </c>
      <c r="R1601" s="657">
        <v>0</v>
      </c>
      <c r="S1601" s="657">
        <v>53493</v>
      </c>
      <c r="T1601" s="657">
        <v>53493</v>
      </c>
      <c r="U1601" s="657">
        <v>6049</v>
      </c>
      <c r="V1601" s="655">
        <v>2021</v>
      </c>
      <c r="W1601" s="659"/>
      <c r="X1601" s="660">
        <f t="shared" si="74"/>
        <v>8.8432798809720623</v>
      </c>
      <c r="Y1601" s="661" t="str">
        <f t="shared" si="72"/>
        <v/>
      </c>
      <c r="Z1601" s="661" t="str">
        <f t="shared" si="73"/>
        <v/>
      </c>
    </row>
    <row r="1602" spans="1:26" s="128" customFormat="1" hidden="1">
      <c r="A1602" s="655">
        <v>61002</v>
      </c>
      <c r="B1602" s="656" t="s">
        <v>33</v>
      </c>
      <c r="C1602" s="655" t="s">
        <v>2793</v>
      </c>
      <c r="D1602" s="656" t="s">
        <v>2037</v>
      </c>
      <c r="E1602" s="656" t="s">
        <v>2037</v>
      </c>
      <c r="F1602" s="655">
        <v>60621</v>
      </c>
      <c r="G1602" s="656" t="s">
        <v>131</v>
      </c>
      <c r="H1602" s="656" t="s">
        <v>1183</v>
      </c>
      <c r="I1602" s="656" t="s">
        <v>58</v>
      </c>
      <c r="J1602" s="655">
        <v>22</v>
      </c>
      <c r="K1602" s="655">
        <v>2</v>
      </c>
      <c r="L1602" s="656" t="s">
        <v>52</v>
      </c>
      <c r="M1602" s="656" t="s">
        <v>71</v>
      </c>
      <c r="N1602" s="656" t="s">
        <v>72</v>
      </c>
      <c r="O1602" s="656" t="s">
        <v>72</v>
      </c>
      <c r="P1602" s="656" t="s">
        <v>1176</v>
      </c>
      <c r="Q1602" s="657">
        <v>0</v>
      </c>
      <c r="R1602" s="657">
        <v>0</v>
      </c>
      <c r="S1602" s="657">
        <v>39450</v>
      </c>
      <c r="T1602" s="657">
        <v>39450</v>
      </c>
      <c r="U1602" s="657">
        <v>4461</v>
      </c>
      <c r="V1602" s="655">
        <v>2021</v>
      </c>
      <c r="W1602" s="659"/>
      <c r="X1602" s="660">
        <f t="shared" si="74"/>
        <v>8.8433086751849359</v>
      </c>
      <c r="Y1602" s="661" t="str">
        <f t="shared" si="72"/>
        <v/>
      </c>
      <c r="Z1602" s="661" t="str">
        <f t="shared" si="73"/>
        <v/>
      </c>
    </row>
    <row r="1603" spans="1:26" s="128" customFormat="1" hidden="1">
      <c r="A1603" s="655">
        <v>61003</v>
      </c>
      <c r="B1603" s="656" t="s">
        <v>33</v>
      </c>
      <c r="C1603" s="655" t="s">
        <v>2793</v>
      </c>
      <c r="D1603" s="656" t="s">
        <v>2038</v>
      </c>
      <c r="E1603" s="656" t="s">
        <v>2039</v>
      </c>
      <c r="F1603" s="655">
        <v>60643</v>
      </c>
      <c r="G1603" s="656" t="s">
        <v>57</v>
      </c>
      <c r="H1603" s="656" t="s">
        <v>1182</v>
      </c>
      <c r="I1603" s="656" t="s">
        <v>58</v>
      </c>
      <c r="J1603" s="655">
        <v>22</v>
      </c>
      <c r="K1603" s="655">
        <v>2</v>
      </c>
      <c r="L1603" s="656" t="s">
        <v>52</v>
      </c>
      <c r="M1603" s="656" t="s">
        <v>448</v>
      </c>
      <c r="N1603" s="656" t="s">
        <v>449</v>
      </c>
      <c r="O1603" s="656" t="s">
        <v>449</v>
      </c>
      <c r="P1603" s="656" t="s">
        <v>1176</v>
      </c>
      <c r="Q1603" s="657">
        <v>0</v>
      </c>
      <c r="R1603" s="657">
        <v>0</v>
      </c>
      <c r="S1603" s="657">
        <v>27174</v>
      </c>
      <c r="T1603" s="657">
        <v>27174</v>
      </c>
      <c r="U1603" s="657">
        <v>3073</v>
      </c>
      <c r="V1603" s="655">
        <v>2021</v>
      </c>
      <c r="W1603" s="659"/>
      <c r="X1603" s="660">
        <f t="shared" si="74"/>
        <v>8.8428246013667433</v>
      </c>
      <c r="Y1603" s="661" t="str">
        <f t="shared" si="72"/>
        <v/>
      </c>
      <c r="Z1603" s="661" t="str">
        <f t="shared" si="73"/>
        <v/>
      </c>
    </row>
    <row r="1604" spans="1:26" s="128" customFormat="1" ht="25">
      <c r="A1604" s="655">
        <v>61007</v>
      </c>
      <c r="B1604" s="656" t="s">
        <v>33</v>
      </c>
      <c r="C1604" s="655" t="s">
        <v>2793</v>
      </c>
      <c r="D1604" s="656" t="s">
        <v>2167</v>
      </c>
      <c r="E1604" s="656" t="s">
        <v>2168</v>
      </c>
      <c r="F1604" s="655">
        <v>60649</v>
      </c>
      <c r="G1604" s="656" t="s">
        <v>81</v>
      </c>
      <c r="H1604" s="656" t="s">
        <v>1183</v>
      </c>
      <c r="I1604" s="656" t="s">
        <v>58</v>
      </c>
      <c r="J1604" s="655">
        <v>22</v>
      </c>
      <c r="K1604" s="655">
        <v>2</v>
      </c>
      <c r="L1604" s="656" t="s">
        <v>52</v>
      </c>
      <c r="M1604" s="656" t="s">
        <v>448</v>
      </c>
      <c r="N1604" s="656" t="s">
        <v>449</v>
      </c>
      <c r="O1604" s="656" t="s">
        <v>449</v>
      </c>
      <c r="P1604" s="656" t="s">
        <v>1176</v>
      </c>
      <c r="Q1604" s="657">
        <v>0</v>
      </c>
      <c r="R1604" s="657">
        <v>0</v>
      </c>
      <c r="S1604" s="657">
        <v>61716</v>
      </c>
      <c r="T1604" s="657">
        <v>61716</v>
      </c>
      <c r="U1604" s="657">
        <v>6979</v>
      </c>
      <c r="V1604" s="655">
        <v>2021</v>
      </c>
      <c r="W1604" s="659"/>
      <c r="X1604" s="660">
        <f t="shared" si="74"/>
        <v>8.8431007307637195</v>
      </c>
      <c r="Y1604" s="661" t="str">
        <f t="shared" si="72"/>
        <v/>
      </c>
      <c r="Z1604" s="661" t="str">
        <f t="shared" si="73"/>
        <v/>
      </c>
    </row>
    <row r="1605" spans="1:26" s="128" customFormat="1">
      <c r="A1605" s="655">
        <v>61008</v>
      </c>
      <c r="B1605" s="656" t="s">
        <v>33</v>
      </c>
      <c r="C1605" s="655" t="s">
        <v>2793</v>
      </c>
      <c r="D1605" s="656" t="s">
        <v>2169</v>
      </c>
      <c r="E1605" s="656" t="s">
        <v>2170</v>
      </c>
      <c r="F1605" s="655">
        <v>60650</v>
      </c>
      <c r="G1605" s="656" t="s">
        <v>81</v>
      </c>
      <c r="H1605" s="656" t="s">
        <v>1183</v>
      </c>
      <c r="I1605" s="656" t="s">
        <v>58</v>
      </c>
      <c r="J1605" s="655">
        <v>22</v>
      </c>
      <c r="K1605" s="655">
        <v>2</v>
      </c>
      <c r="L1605" s="656" t="s">
        <v>52</v>
      </c>
      <c r="M1605" s="656" t="s">
        <v>448</v>
      </c>
      <c r="N1605" s="656" t="s">
        <v>449</v>
      </c>
      <c r="O1605" s="656" t="s">
        <v>449</v>
      </c>
      <c r="P1605" s="656" t="s">
        <v>1176</v>
      </c>
      <c r="Q1605" s="657">
        <v>0</v>
      </c>
      <c r="R1605" s="657">
        <v>0</v>
      </c>
      <c r="S1605" s="657">
        <v>77024</v>
      </c>
      <c r="T1605" s="657">
        <v>77024</v>
      </c>
      <c r="U1605" s="657">
        <v>8710</v>
      </c>
      <c r="V1605" s="655">
        <v>2021</v>
      </c>
      <c r="W1605" s="659"/>
      <c r="X1605" s="660">
        <f t="shared" si="74"/>
        <v>8.8431687715269813</v>
      </c>
      <c r="Y1605" s="661" t="str">
        <f t="shared" si="72"/>
        <v/>
      </c>
      <c r="Z1605" s="661" t="str">
        <f t="shared" si="73"/>
        <v/>
      </c>
    </row>
    <row r="1606" spans="1:26" s="128" customFormat="1">
      <c r="A1606" s="655">
        <v>61009</v>
      </c>
      <c r="B1606" s="656" t="s">
        <v>33</v>
      </c>
      <c r="C1606" s="655" t="s">
        <v>2793</v>
      </c>
      <c r="D1606" s="656" t="s">
        <v>2171</v>
      </c>
      <c r="E1606" s="656" t="s">
        <v>2172</v>
      </c>
      <c r="F1606" s="655">
        <v>60651</v>
      </c>
      <c r="G1606" s="656" t="s">
        <v>81</v>
      </c>
      <c r="H1606" s="656" t="s">
        <v>1183</v>
      </c>
      <c r="I1606" s="656" t="s">
        <v>58</v>
      </c>
      <c r="J1606" s="655">
        <v>22</v>
      </c>
      <c r="K1606" s="655">
        <v>2</v>
      </c>
      <c r="L1606" s="656" t="s">
        <v>52</v>
      </c>
      <c r="M1606" s="656" t="s">
        <v>448</v>
      </c>
      <c r="N1606" s="656" t="s">
        <v>449</v>
      </c>
      <c r="O1606" s="656" t="s">
        <v>449</v>
      </c>
      <c r="P1606" s="656" t="s">
        <v>1176</v>
      </c>
      <c r="Q1606" s="657">
        <v>0</v>
      </c>
      <c r="R1606" s="657">
        <v>0</v>
      </c>
      <c r="S1606" s="657">
        <v>33487</v>
      </c>
      <c r="T1606" s="657">
        <v>33487</v>
      </c>
      <c r="U1606" s="657">
        <v>3787</v>
      </c>
      <c r="V1606" s="655">
        <v>2021</v>
      </c>
      <c r="W1606" s="659"/>
      <c r="X1606" s="660">
        <f t="shared" si="74"/>
        <v>8.8426194877211515</v>
      </c>
      <c r="Y1606" s="661" t="str">
        <f t="shared" si="72"/>
        <v/>
      </c>
      <c r="Z1606" s="661" t="str">
        <f t="shared" si="73"/>
        <v/>
      </c>
    </row>
    <row r="1607" spans="1:26" s="128" customFormat="1">
      <c r="A1607" s="655">
        <v>61010</v>
      </c>
      <c r="B1607" s="656" t="s">
        <v>33</v>
      </c>
      <c r="C1607" s="655" t="s">
        <v>2793</v>
      </c>
      <c r="D1607" s="656" t="s">
        <v>2173</v>
      </c>
      <c r="E1607" s="656" t="s">
        <v>2174</v>
      </c>
      <c r="F1607" s="655">
        <v>60655</v>
      </c>
      <c r="G1607" s="656" t="s">
        <v>81</v>
      </c>
      <c r="H1607" s="656" t="s">
        <v>1183</v>
      </c>
      <c r="I1607" s="656" t="s">
        <v>58</v>
      </c>
      <c r="J1607" s="655">
        <v>22</v>
      </c>
      <c r="K1607" s="655">
        <v>2</v>
      </c>
      <c r="L1607" s="656" t="s">
        <v>52</v>
      </c>
      <c r="M1607" s="656" t="s">
        <v>448</v>
      </c>
      <c r="N1607" s="656" t="s">
        <v>449</v>
      </c>
      <c r="O1607" s="656" t="s">
        <v>449</v>
      </c>
      <c r="P1607" s="656" t="s">
        <v>1176</v>
      </c>
      <c r="Q1607" s="657">
        <v>0</v>
      </c>
      <c r="R1607" s="657">
        <v>0</v>
      </c>
      <c r="S1607" s="657">
        <v>72681</v>
      </c>
      <c r="T1607" s="657">
        <v>72681</v>
      </c>
      <c r="U1607" s="657">
        <v>8219</v>
      </c>
      <c r="V1607" s="655">
        <v>2021</v>
      </c>
      <c r="W1607" s="659"/>
      <c r="X1607" s="660">
        <f t="shared" si="74"/>
        <v>8.8430465993429852</v>
      </c>
      <c r="Y1607" s="661" t="str">
        <f t="shared" ref="Y1607:Y1670" si="75">IF(AND($M1607=$Y$2,$N1607=$Y$3,NOT($Q1607=$R1607),NOT($U1607=0)),IF($K1607=5,$S1607/($U1607+(8/5)*$U1607),IF($K1607=7,$S1607/($U1607+(29/25)*$U1607),"")),"")</f>
        <v/>
      </c>
      <c r="Z1607" s="661" t="str">
        <f t="shared" ref="Z1607:Z1670" si="76">IF(AND($M1607=$Y$2,$N1607=$Y$4,NOT($Q1607=$R1607),NOT($U1607=0)),IF($K1607=5,$S1607/($U1607+(8/5)*$U1607),IF($K1607=7,$S1607/($U1607+(29/25)*$U1607),"")),"")</f>
        <v/>
      </c>
    </row>
    <row r="1608" spans="1:26" s="128" customFormat="1" ht="25" hidden="1">
      <c r="A1608" s="655">
        <v>61012</v>
      </c>
      <c r="B1608" s="656" t="s">
        <v>33</v>
      </c>
      <c r="C1608" s="655" t="s">
        <v>2793</v>
      </c>
      <c r="D1608" s="656" t="s">
        <v>2040</v>
      </c>
      <c r="E1608" s="656" t="s">
        <v>902</v>
      </c>
      <c r="F1608" s="655">
        <v>54842</v>
      </c>
      <c r="G1608" s="656" t="s">
        <v>57</v>
      </c>
      <c r="H1608" s="656" t="s">
        <v>1182</v>
      </c>
      <c r="I1608" s="656" t="s">
        <v>58</v>
      </c>
      <c r="J1608" s="655">
        <v>22</v>
      </c>
      <c r="K1608" s="655">
        <v>2</v>
      </c>
      <c r="L1608" s="656" t="s">
        <v>52</v>
      </c>
      <c r="M1608" s="656" t="s">
        <v>51</v>
      </c>
      <c r="N1608" s="656" t="s">
        <v>63</v>
      </c>
      <c r="O1608" s="656" t="s">
        <v>64</v>
      </c>
      <c r="P1608" s="656" t="s">
        <v>1037</v>
      </c>
      <c r="Q1608" s="657">
        <v>1168174</v>
      </c>
      <c r="R1608" s="657">
        <v>1168174</v>
      </c>
      <c r="S1608" s="657">
        <v>638991</v>
      </c>
      <c r="T1608" s="657">
        <v>638991</v>
      </c>
      <c r="U1608" s="657">
        <v>51733</v>
      </c>
      <c r="V1608" s="655">
        <v>2021</v>
      </c>
      <c r="W1608" s="659"/>
      <c r="X1608" s="660">
        <f t="shared" ref="X1608:X1671" si="77">IF(OR(K1608&gt;3,T1608=0,NOT(U1608&gt;0)),"",T1608/U1608)</f>
        <v>12.351709740397812</v>
      </c>
      <c r="Y1608" s="661" t="str">
        <f t="shared" si="75"/>
        <v/>
      </c>
      <c r="Z1608" s="661" t="str">
        <f t="shared" si="76"/>
        <v/>
      </c>
    </row>
    <row r="1609" spans="1:26" s="128" customFormat="1" hidden="1">
      <c r="A1609" s="655">
        <v>61015</v>
      </c>
      <c r="B1609" s="656" t="s">
        <v>33</v>
      </c>
      <c r="C1609" s="655" t="s">
        <v>2793</v>
      </c>
      <c r="D1609" s="656" t="s">
        <v>2041</v>
      </c>
      <c r="E1609" s="656" t="s">
        <v>2039</v>
      </c>
      <c r="F1609" s="655">
        <v>60643</v>
      </c>
      <c r="G1609" s="656" t="s">
        <v>57</v>
      </c>
      <c r="H1609" s="656" t="s">
        <v>1182</v>
      </c>
      <c r="I1609" s="656" t="s">
        <v>58</v>
      </c>
      <c r="J1609" s="655">
        <v>22</v>
      </c>
      <c r="K1609" s="655">
        <v>2</v>
      </c>
      <c r="L1609" s="656" t="s">
        <v>52</v>
      </c>
      <c r="M1609" s="656" t="s">
        <v>448</v>
      </c>
      <c r="N1609" s="656" t="s">
        <v>449</v>
      </c>
      <c r="O1609" s="656" t="s">
        <v>449</v>
      </c>
      <c r="P1609" s="656" t="s">
        <v>1176</v>
      </c>
      <c r="Q1609" s="657">
        <v>0</v>
      </c>
      <c r="R1609" s="657">
        <v>0</v>
      </c>
      <c r="S1609" s="657">
        <v>27544</v>
      </c>
      <c r="T1609" s="657">
        <v>27544</v>
      </c>
      <c r="U1609" s="657">
        <v>3115</v>
      </c>
      <c r="V1609" s="655">
        <v>2021</v>
      </c>
      <c r="W1609" s="659"/>
      <c r="X1609" s="660">
        <f t="shared" si="77"/>
        <v>8.8423756019261646</v>
      </c>
      <c r="Y1609" s="661" t="str">
        <f t="shared" si="75"/>
        <v/>
      </c>
      <c r="Z1609" s="661" t="str">
        <f t="shared" si="76"/>
        <v/>
      </c>
    </row>
    <row r="1610" spans="1:26" s="128" customFormat="1">
      <c r="A1610" s="655">
        <v>61016</v>
      </c>
      <c r="B1610" s="656" t="s">
        <v>33</v>
      </c>
      <c r="C1610" s="655" t="s">
        <v>2793</v>
      </c>
      <c r="D1610" s="656" t="s">
        <v>2175</v>
      </c>
      <c r="E1610" s="656" t="s">
        <v>2176</v>
      </c>
      <c r="F1610" s="655">
        <v>60652</v>
      </c>
      <c r="G1610" s="656" t="s">
        <v>81</v>
      </c>
      <c r="H1610" s="656" t="s">
        <v>1183</v>
      </c>
      <c r="I1610" s="656" t="s">
        <v>58</v>
      </c>
      <c r="J1610" s="655">
        <v>22</v>
      </c>
      <c r="K1610" s="655">
        <v>2</v>
      </c>
      <c r="L1610" s="656" t="s">
        <v>52</v>
      </c>
      <c r="M1610" s="656" t="s">
        <v>448</v>
      </c>
      <c r="N1610" s="656" t="s">
        <v>449</v>
      </c>
      <c r="O1610" s="656" t="s">
        <v>449</v>
      </c>
      <c r="P1610" s="656" t="s">
        <v>1176</v>
      </c>
      <c r="Q1610" s="657">
        <v>0</v>
      </c>
      <c r="R1610" s="657">
        <v>0</v>
      </c>
      <c r="S1610" s="657">
        <v>32181</v>
      </c>
      <c r="T1610" s="657">
        <v>32181</v>
      </c>
      <c r="U1610" s="657">
        <v>3639</v>
      </c>
      <c r="V1610" s="655">
        <v>2021</v>
      </c>
      <c r="W1610" s="659"/>
      <c r="X1610" s="660">
        <f t="shared" si="77"/>
        <v>8.8433635614179718</v>
      </c>
      <c r="Y1610" s="661" t="str">
        <f t="shared" si="75"/>
        <v/>
      </c>
      <c r="Z1610" s="661" t="str">
        <f t="shared" si="76"/>
        <v/>
      </c>
    </row>
    <row r="1611" spans="1:26" s="128" customFormat="1" ht="25">
      <c r="A1611" s="655">
        <v>61017</v>
      </c>
      <c r="B1611" s="656" t="s">
        <v>33</v>
      </c>
      <c r="C1611" s="655" t="s">
        <v>2793</v>
      </c>
      <c r="D1611" s="656" t="s">
        <v>2177</v>
      </c>
      <c r="E1611" s="656" t="s">
        <v>2178</v>
      </c>
      <c r="F1611" s="655">
        <v>60653</v>
      </c>
      <c r="G1611" s="656" t="s">
        <v>81</v>
      </c>
      <c r="H1611" s="656" t="s">
        <v>1183</v>
      </c>
      <c r="I1611" s="656" t="s">
        <v>58</v>
      </c>
      <c r="J1611" s="655">
        <v>22</v>
      </c>
      <c r="K1611" s="655">
        <v>2</v>
      </c>
      <c r="L1611" s="656" t="s">
        <v>52</v>
      </c>
      <c r="M1611" s="656" t="s">
        <v>448</v>
      </c>
      <c r="N1611" s="656" t="s">
        <v>449</v>
      </c>
      <c r="O1611" s="656" t="s">
        <v>449</v>
      </c>
      <c r="P1611" s="656" t="s">
        <v>1176</v>
      </c>
      <c r="Q1611" s="657">
        <v>0</v>
      </c>
      <c r="R1611" s="657">
        <v>0</v>
      </c>
      <c r="S1611" s="657">
        <v>33513</v>
      </c>
      <c r="T1611" s="657">
        <v>33513</v>
      </c>
      <c r="U1611" s="657">
        <v>3790</v>
      </c>
      <c r="V1611" s="655">
        <v>2021</v>
      </c>
      <c r="W1611" s="659"/>
      <c r="X1611" s="660">
        <f t="shared" si="77"/>
        <v>8.8424802110817939</v>
      </c>
      <c r="Y1611" s="661" t="str">
        <f t="shared" si="75"/>
        <v/>
      </c>
      <c r="Z1611" s="661" t="str">
        <f t="shared" si="76"/>
        <v/>
      </c>
    </row>
    <row r="1612" spans="1:26" s="128" customFormat="1">
      <c r="A1612" s="655">
        <v>61018</v>
      </c>
      <c r="B1612" s="656" t="s">
        <v>33</v>
      </c>
      <c r="C1612" s="655" t="s">
        <v>2793</v>
      </c>
      <c r="D1612" s="656" t="s">
        <v>2179</v>
      </c>
      <c r="E1612" s="656" t="s">
        <v>2180</v>
      </c>
      <c r="F1612" s="655">
        <v>60654</v>
      </c>
      <c r="G1612" s="656" t="s">
        <v>81</v>
      </c>
      <c r="H1612" s="656" t="s">
        <v>1183</v>
      </c>
      <c r="I1612" s="656" t="s">
        <v>58</v>
      </c>
      <c r="J1612" s="655">
        <v>22</v>
      </c>
      <c r="K1612" s="655">
        <v>2</v>
      </c>
      <c r="L1612" s="656" t="s">
        <v>52</v>
      </c>
      <c r="M1612" s="656" t="s">
        <v>448</v>
      </c>
      <c r="N1612" s="656" t="s">
        <v>449</v>
      </c>
      <c r="O1612" s="656" t="s">
        <v>449</v>
      </c>
      <c r="P1612" s="656" t="s">
        <v>1176</v>
      </c>
      <c r="Q1612" s="657">
        <v>0</v>
      </c>
      <c r="R1612" s="657">
        <v>0</v>
      </c>
      <c r="S1612" s="657">
        <v>16448</v>
      </c>
      <c r="T1612" s="657">
        <v>16448</v>
      </c>
      <c r="U1612" s="657">
        <v>1860</v>
      </c>
      <c r="V1612" s="655">
        <v>2021</v>
      </c>
      <c r="W1612" s="659"/>
      <c r="X1612" s="660">
        <f t="shared" si="77"/>
        <v>8.8430107526881727</v>
      </c>
      <c r="Y1612" s="661" t="str">
        <f t="shared" si="75"/>
        <v/>
      </c>
      <c r="Z1612" s="661" t="str">
        <f t="shared" si="76"/>
        <v/>
      </c>
    </row>
    <row r="1613" spans="1:26" s="128" customFormat="1" ht="25" hidden="1">
      <c r="A1613" s="655">
        <v>61025</v>
      </c>
      <c r="B1613" s="656" t="s">
        <v>33</v>
      </c>
      <c r="C1613" s="655" t="s">
        <v>2793</v>
      </c>
      <c r="D1613" s="656" t="s">
        <v>2042</v>
      </c>
      <c r="E1613" s="656" t="s">
        <v>2043</v>
      </c>
      <c r="F1613" s="655">
        <v>60675</v>
      </c>
      <c r="G1613" s="656" t="s">
        <v>57</v>
      </c>
      <c r="H1613" s="656" t="s">
        <v>1182</v>
      </c>
      <c r="I1613" s="656" t="s">
        <v>58</v>
      </c>
      <c r="J1613" s="655">
        <v>622</v>
      </c>
      <c r="K1613" s="655">
        <v>4</v>
      </c>
      <c r="L1613" s="656" t="s">
        <v>412</v>
      </c>
      <c r="M1613" s="656" t="s">
        <v>51</v>
      </c>
      <c r="N1613" s="656" t="s">
        <v>46</v>
      </c>
      <c r="O1613" s="656" t="s">
        <v>46</v>
      </c>
      <c r="P1613" s="656" t="s">
        <v>47</v>
      </c>
      <c r="Q1613" s="657">
        <v>8</v>
      </c>
      <c r="R1613" s="657">
        <v>8</v>
      </c>
      <c r="S1613" s="657">
        <v>45</v>
      </c>
      <c r="T1613" s="657">
        <v>45</v>
      </c>
      <c r="U1613" s="657">
        <v>1</v>
      </c>
      <c r="V1613" s="655">
        <v>2021</v>
      </c>
      <c r="W1613" s="659"/>
      <c r="X1613" s="660" t="str">
        <f t="shared" si="77"/>
        <v/>
      </c>
      <c r="Y1613" s="661" t="str">
        <f t="shared" si="75"/>
        <v/>
      </c>
      <c r="Z1613" s="661" t="str">
        <f t="shared" si="76"/>
        <v/>
      </c>
    </row>
    <row r="1614" spans="1:26" s="128" customFormat="1" ht="25" hidden="1">
      <c r="A1614" s="655">
        <v>61026</v>
      </c>
      <c r="B1614" s="656" t="s">
        <v>33</v>
      </c>
      <c r="C1614" s="655" t="s">
        <v>2793</v>
      </c>
      <c r="D1614" s="656" t="s">
        <v>2044</v>
      </c>
      <c r="E1614" s="656" t="s">
        <v>2045</v>
      </c>
      <c r="F1614" s="655">
        <v>60676</v>
      </c>
      <c r="G1614" s="656" t="s">
        <v>57</v>
      </c>
      <c r="H1614" s="656" t="s">
        <v>1182</v>
      </c>
      <c r="I1614" s="656" t="s">
        <v>58</v>
      </c>
      <c r="J1614" s="655">
        <v>622</v>
      </c>
      <c r="K1614" s="655">
        <v>4</v>
      </c>
      <c r="L1614" s="656" t="s">
        <v>412</v>
      </c>
      <c r="M1614" s="656" t="s">
        <v>51</v>
      </c>
      <c r="N1614" s="656" t="s">
        <v>46</v>
      </c>
      <c r="O1614" s="656" t="s">
        <v>46</v>
      </c>
      <c r="P1614" s="656" t="s">
        <v>47</v>
      </c>
      <c r="Q1614" s="657">
        <v>303</v>
      </c>
      <c r="R1614" s="657">
        <v>303</v>
      </c>
      <c r="S1614" s="657">
        <v>1669</v>
      </c>
      <c r="T1614" s="657">
        <v>1669</v>
      </c>
      <c r="U1614" s="657">
        <v>268</v>
      </c>
      <c r="V1614" s="655">
        <v>2021</v>
      </c>
      <c r="W1614" s="659"/>
      <c r="X1614" s="660" t="str">
        <f t="shared" si="77"/>
        <v/>
      </c>
      <c r="Y1614" s="661" t="str">
        <f t="shared" si="75"/>
        <v/>
      </c>
      <c r="Z1614" s="661" t="str">
        <f t="shared" si="76"/>
        <v/>
      </c>
    </row>
    <row r="1615" spans="1:26" s="128" customFormat="1" hidden="1">
      <c r="A1615" s="655">
        <v>61030</v>
      </c>
      <c r="B1615" s="656" t="s">
        <v>33</v>
      </c>
      <c r="C1615" s="655" t="s">
        <v>2793</v>
      </c>
      <c r="D1615" s="656" t="s">
        <v>2046</v>
      </c>
      <c r="E1615" s="656" t="s">
        <v>2047</v>
      </c>
      <c r="F1615" s="655">
        <v>60669</v>
      </c>
      <c r="G1615" s="656" t="s">
        <v>57</v>
      </c>
      <c r="H1615" s="656" t="s">
        <v>1182</v>
      </c>
      <c r="I1615" s="656" t="s">
        <v>58</v>
      </c>
      <c r="J1615" s="655">
        <v>22</v>
      </c>
      <c r="K1615" s="655">
        <v>2</v>
      </c>
      <c r="L1615" s="656" t="s">
        <v>52</v>
      </c>
      <c r="M1615" s="656" t="s">
        <v>448</v>
      </c>
      <c r="N1615" s="656" t="s">
        <v>449</v>
      </c>
      <c r="O1615" s="656" t="s">
        <v>449</v>
      </c>
      <c r="P1615" s="656" t="s">
        <v>1176</v>
      </c>
      <c r="Q1615" s="657">
        <v>0</v>
      </c>
      <c r="R1615" s="657">
        <v>0</v>
      </c>
      <c r="S1615" s="657">
        <v>21292</v>
      </c>
      <c r="T1615" s="657">
        <v>21292</v>
      </c>
      <c r="U1615" s="657">
        <v>2408</v>
      </c>
      <c r="V1615" s="655">
        <v>2021</v>
      </c>
      <c r="W1615" s="659"/>
      <c r="X1615" s="660">
        <f t="shared" si="77"/>
        <v>8.8421926910299007</v>
      </c>
      <c r="Y1615" s="661" t="str">
        <f t="shared" si="75"/>
        <v/>
      </c>
      <c r="Z1615" s="661" t="str">
        <f t="shared" si="76"/>
        <v/>
      </c>
    </row>
    <row r="1616" spans="1:26" s="128" customFormat="1" hidden="1">
      <c r="A1616" s="655">
        <v>61039</v>
      </c>
      <c r="B1616" s="656" t="s">
        <v>33</v>
      </c>
      <c r="C1616" s="655" t="s">
        <v>2793</v>
      </c>
      <c r="D1616" s="656" t="s">
        <v>2181</v>
      </c>
      <c r="E1616" s="656" t="s">
        <v>1913</v>
      </c>
      <c r="F1616" s="655">
        <v>15399</v>
      </c>
      <c r="G1616" s="656" t="s">
        <v>89</v>
      </c>
      <c r="H1616" s="656" t="s">
        <v>1183</v>
      </c>
      <c r="I1616" s="656" t="s">
        <v>58</v>
      </c>
      <c r="J1616" s="655">
        <v>22</v>
      </c>
      <c r="K1616" s="655">
        <v>2</v>
      </c>
      <c r="L1616" s="656" t="s">
        <v>52</v>
      </c>
      <c r="M1616" s="656" t="s">
        <v>71</v>
      </c>
      <c r="N1616" s="656" t="s">
        <v>72</v>
      </c>
      <c r="O1616" s="656" t="s">
        <v>72</v>
      </c>
      <c r="P1616" s="656" t="s">
        <v>1176</v>
      </c>
      <c r="Q1616" s="657">
        <v>0</v>
      </c>
      <c r="R1616" s="657">
        <v>0</v>
      </c>
      <c r="S1616" s="657">
        <v>826034</v>
      </c>
      <c r="T1616" s="657">
        <v>826034</v>
      </c>
      <c r="U1616" s="657">
        <v>93411</v>
      </c>
      <c r="V1616" s="655">
        <v>2021</v>
      </c>
      <c r="W1616" s="659"/>
      <c r="X1616" s="660">
        <f t="shared" si="77"/>
        <v>8.8430056417338427</v>
      </c>
      <c r="Y1616" s="661" t="str">
        <f t="shared" si="75"/>
        <v/>
      </c>
      <c r="Z1616" s="661" t="str">
        <f t="shared" si="76"/>
        <v/>
      </c>
    </row>
    <row r="1617" spans="1:26" s="128" customFormat="1" hidden="1">
      <c r="A1617" s="655">
        <v>61041</v>
      </c>
      <c r="B1617" s="656" t="s">
        <v>33</v>
      </c>
      <c r="C1617" s="655" t="s">
        <v>2793</v>
      </c>
      <c r="D1617" s="656" t="s">
        <v>3380</v>
      </c>
      <c r="E1617" s="656" t="s">
        <v>1913</v>
      </c>
      <c r="F1617" s="655">
        <v>15399</v>
      </c>
      <c r="G1617" s="656" t="s">
        <v>57</v>
      </c>
      <c r="H1617" s="656" t="s">
        <v>1182</v>
      </c>
      <c r="I1617" s="656" t="s">
        <v>58</v>
      </c>
      <c r="J1617" s="655">
        <v>22</v>
      </c>
      <c r="K1617" s="655">
        <v>2</v>
      </c>
      <c r="L1617" s="656" t="s">
        <v>52</v>
      </c>
      <c r="M1617" s="656" t="s">
        <v>71</v>
      </c>
      <c r="N1617" s="656" t="s">
        <v>72</v>
      </c>
      <c r="O1617" s="656" t="s">
        <v>72</v>
      </c>
      <c r="P1617" s="656" t="s">
        <v>1176</v>
      </c>
      <c r="Q1617" s="657">
        <v>0</v>
      </c>
      <c r="R1617" s="657">
        <v>0</v>
      </c>
      <c r="S1617" s="657">
        <v>273134</v>
      </c>
      <c r="T1617" s="657">
        <v>273134</v>
      </c>
      <c r="U1617" s="657">
        <v>30887</v>
      </c>
      <c r="V1617" s="655">
        <v>2021</v>
      </c>
      <c r="W1617" s="659"/>
      <c r="X1617" s="660">
        <f t="shared" si="77"/>
        <v>8.8430083854048629</v>
      </c>
      <c r="Y1617" s="661" t="str">
        <f t="shared" si="75"/>
        <v/>
      </c>
      <c r="Z1617" s="661" t="str">
        <f t="shared" si="76"/>
        <v/>
      </c>
    </row>
    <row r="1618" spans="1:26" s="128" customFormat="1" ht="25" hidden="1">
      <c r="A1618" s="655">
        <v>61042</v>
      </c>
      <c r="B1618" s="656" t="s">
        <v>33</v>
      </c>
      <c r="C1618" s="655" t="s">
        <v>2793</v>
      </c>
      <c r="D1618" s="656" t="s">
        <v>2182</v>
      </c>
      <c r="E1618" s="656" t="s">
        <v>3139</v>
      </c>
      <c r="F1618" s="655">
        <v>60571</v>
      </c>
      <c r="G1618" s="656" t="s">
        <v>57</v>
      </c>
      <c r="H1618" s="656" t="s">
        <v>1182</v>
      </c>
      <c r="I1618" s="656" t="s">
        <v>58</v>
      </c>
      <c r="J1618" s="655">
        <v>22</v>
      </c>
      <c r="K1618" s="655">
        <v>2</v>
      </c>
      <c r="L1618" s="656" t="s">
        <v>52</v>
      </c>
      <c r="M1618" s="656" t="s">
        <v>448</v>
      </c>
      <c r="N1618" s="656" t="s">
        <v>449</v>
      </c>
      <c r="O1618" s="656" t="s">
        <v>449</v>
      </c>
      <c r="P1618" s="656" t="s">
        <v>1176</v>
      </c>
      <c r="Q1618" s="657">
        <v>0</v>
      </c>
      <c r="R1618" s="657">
        <v>0</v>
      </c>
      <c r="S1618" s="657">
        <v>16412</v>
      </c>
      <c r="T1618" s="657">
        <v>16412</v>
      </c>
      <c r="U1618" s="657">
        <v>1856</v>
      </c>
      <c r="V1618" s="655">
        <v>2021</v>
      </c>
      <c r="W1618" s="659"/>
      <c r="X1618" s="660">
        <f t="shared" si="77"/>
        <v>8.8426724137931032</v>
      </c>
      <c r="Y1618" s="661" t="str">
        <f t="shared" si="75"/>
        <v/>
      </c>
      <c r="Z1618" s="661" t="str">
        <f t="shared" si="76"/>
        <v/>
      </c>
    </row>
    <row r="1619" spans="1:26" s="128" customFormat="1" hidden="1">
      <c r="A1619" s="655">
        <v>61043</v>
      </c>
      <c r="B1619" s="656" t="s">
        <v>33</v>
      </c>
      <c r="C1619" s="655" t="s">
        <v>2793</v>
      </c>
      <c r="D1619" s="656" t="s">
        <v>2048</v>
      </c>
      <c r="E1619" s="656" t="s">
        <v>3139</v>
      </c>
      <c r="F1619" s="655">
        <v>60571</v>
      </c>
      <c r="G1619" s="656" t="s">
        <v>57</v>
      </c>
      <c r="H1619" s="656" t="s">
        <v>1182</v>
      </c>
      <c r="I1619" s="656" t="s">
        <v>58</v>
      </c>
      <c r="J1619" s="655">
        <v>22</v>
      </c>
      <c r="K1619" s="655">
        <v>2</v>
      </c>
      <c r="L1619" s="656" t="s">
        <v>52</v>
      </c>
      <c r="M1619" s="656" t="s">
        <v>448</v>
      </c>
      <c r="N1619" s="656" t="s">
        <v>449</v>
      </c>
      <c r="O1619" s="656" t="s">
        <v>449</v>
      </c>
      <c r="P1619" s="656" t="s">
        <v>1176</v>
      </c>
      <c r="Q1619" s="657">
        <v>0</v>
      </c>
      <c r="R1619" s="657">
        <v>0</v>
      </c>
      <c r="S1619" s="657">
        <v>23824</v>
      </c>
      <c r="T1619" s="657">
        <v>23824</v>
      </c>
      <c r="U1619" s="657">
        <v>2694</v>
      </c>
      <c r="V1619" s="655">
        <v>2021</v>
      </c>
      <c r="W1619" s="659"/>
      <c r="X1619" s="660">
        <f t="shared" si="77"/>
        <v>8.8433556050482558</v>
      </c>
      <c r="Y1619" s="661" t="str">
        <f t="shared" si="75"/>
        <v/>
      </c>
      <c r="Z1619" s="661" t="str">
        <f t="shared" si="76"/>
        <v/>
      </c>
    </row>
    <row r="1620" spans="1:26" s="128" customFormat="1" ht="25">
      <c r="A1620" s="655">
        <v>61069</v>
      </c>
      <c r="B1620" s="656" t="s">
        <v>33</v>
      </c>
      <c r="C1620" s="655" t="s">
        <v>2793</v>
      </c>
      <c r="D1620" s="656" t="s">
        <v>2183</v>
      </c>
      <c r="E1620" s="656" t="s">
        <v>2184</v>
      </c>
      <c r="F1620" s="655">
        <v>60692</v>
      </c>
      <c r="G1620" s="656" t="s">
        <v>81</v>
      </c>
      <c r="H1620" s="656" t="s">
        <v>1183</v>
      </c>
      <c r="I1620" s="656" t="s">
        <v>58</v>
      </c>
      <c r="J1620" s="655">
        <v>22</v>
      </c>
      <c r="K1620" s="655">
        <v>2</v>
      </c>
      <c r="L1620" s="656" t="s">
        <v>52</v>
      </c>
      <c r="M1620" s="656" t="s">
        <v>448</v>
      </c>
      <c r="N1620" s="656" t="s">
        <v>449</v>
      </c>
      <c r="O1620" s="656" t="s">
        <v>449</v>
      </c>
      <c r="P1620" s="656" t="s">
        <v>1176</v>
      </c>
      <c r="Q1620" s="657">
        <v>0</v>
      </c>
      <c r="R1620" s="657">
        <v>0</v>
      </c>
      <c r="S1620" s="657">
        <v>42995</v>
      </c>
      <c r="T1620" s="657">
        <v>42995</v>
      </c>
      <c r="U1620" s="657">
        <v>4862</v>
      </c>
      <c r="V1620" s="655">
        <v>2021</v>
      </c>
      <c r="W1620" s="659"/>
      <c r="X1620" s="660">
        <f t="shared" si="77"/>
        <v>8.8430686960098726</v>
      </c>
      <c r="Y1620" s="661" t="str">
        <f t="shared" si="75"/>
        <v/>
      </c>
      <c r="Z1620" s="661" t="str">
        <f t="shared" si="76"/>
        <v/>
      </c>
    </row>
    <row r="1621" spans="1:26" s="128" customFormat="1">
      <c r="A1621" s="655">
        <v>61097</v>
      </c>
      <c r="B1621" s="656" t="s">
        <v>33</v>
      </c>
      <c r="C1621" s="655" t="s">
        <v>2793</v>
      </c>
      <c r="D1621" s="656" t="s">
        <v>2049</v>
      </c>
      <c r="E1621" s="656" t="s">
        <v>2050</v>
      </c>
      <c r="F1621" s="655">
        <v>60710</v>
      </c>
      <c r="G1621" s="656" t="s">
        <v>81</v>
      </c>
      <c r="H1621" s="656" t="s">
        <v>1183</v>
      </c>
      <c r="I1621" s="656" t="s">
        <v>58</v>
      </c>
      <c r="J1621" s="655">
        <v>22</v>
      </c>
      <c r="K1621" s="655">
        <v>2</v>
      </c>
      <c r="L1621" s="656" t="s">
        <v>52</v>
      </c>
      <c r="M1621" s="656" t="s">
        <v>448</v>
      </c>
      <c r="N1621" s="656" t="s">
        <v>449</v>
      </c>
      <c r="O1621" s="656" t="s">
        <v>449</v>
      </c>
      <c r="P1621" s="656" t="s">
        <v>1176</v>
      </c>
      <c r="Q1621" s="657">
        <v>0</v>
      </c>
      <c r="R1621" s="657">
        <v>0</v>
      </c>
      <c r="S1621" s="657">
        <v>58029</v>
      </c>
      <c r="T1621" s="657">
        <v>58029</v>
      </c>
      <c r="U1621" s="657">
        <v>6562</v>
      </c>
      <c r="V1621" s="655">
        <v>2021</v>
      </c>
      <c r="W1621" s="659"/>
      <c r="X1621" s="660">
        <f t="shared" si="77"/>
        <v>8.8431880524230415</v>
      </c>
      <c r="Y1621" s="661" t="str">
        <f t="shared" si="75"/>
        <v/>
      </c>
      <c r="Z1621" s="661" t="str">
        <f t="shared" si="76"/>
        <v/>
      </c>
    </row>
    <row r="1622" spans="1:26" s="128" customFormat="1" ht="25" hidden="1">
      <c r="A1622" s="655">
        <v>61124</v>
      </c>
      <c r="B1622" s="656" t="s">
        <v>33</v>
      </c>
      <c r="C1622" s="655" t="s">
        <v>2793</v>
      </c>
      <c r="D1622" s="656" t="s">
        <v>2185</v>
      </c>
      <c r="E1622" s="656" t="s">
        <v>2186</v>
      </c>
      <c r="F1622" s="655">
        <v>60734</v>
      </c>
      <c r="G1622" s="656" t="s">
        <v>89</v>
      </c>
      <c r="H1622" s="656" t="s">
        <v>1183</v>
      </c>
      <c r="I1622" s="656" t="s">
        <v>58</v>
      </c>
      <c r="J1622" s="655">
        <v>22</v>
      </c>
      <c r="K1622" s="655">
        <v>2</v>
      </c>
      <c r="L1622" s="656" t="s">
        <v>52</v>
      </c>
      <c r="M1622" s="656" t="s">
        <v>448</v>
      </c>
      <c r="N1622" s="656" t="s">
        <v>449</v>
      </c>
      <c r="O1622" s="656" t="s">
        <v>449</v>
      </c>
      <c r="P1622" s="656" t="s">
        <v>1176</v>
      </c>
      <c r="Q1622" s="657">
        <v>0</v>
      </c>
      <c r="R1622" s="657">
        <v>0</v>
      </c>
      <c r="S1622" s="657">
        <v>76342</v>
      </c>
      <c r="T1622" s="657">
        <v>76342</v>
      </c>
      <c r="U1622" s="657">
        <v>8633</v>
      </c>
      <c r="V1622" s="655">
        <v>2021</v>
      </c>
      <c r="W1622" s="659"/>
      <c r="X1622" s="660">
        <f t="shared" si="77"/>
        <v>8.8430441329781075</v>
      </c>
      <c r="Y1622" s="661" t="str">
        <f t="shared" si="75"/>
        <v/>
      </c>
      <c r="Z1622" s="661" t="str">
        <f t="shared" si="76"/>
        <v/>
      </c>
    </row>
    <row r="1623" spans="1:26" s="128" customFormat="1" ht="25" hidden="1">
      <c r="A1623" s="655">
        <v>61125</v>
      </c>
      <c r="B1623" s="656" t="s">
        <v>33</v>
      </c>
      <c r="C1623" s="655" t="s">
        <v>2793</v>
      </c>
      <c r="D1623" s="656" t="s">
        <v>2051</v>
      </c>
      <c r="E1623" s="656" t="s">
        <v>2052</v>
      </c>
      <c r="F1623" s="655">
        <v>27316</v>
      </c>
      <c r="G1623" s="656" t="s">
        <v>89</v>
      </c>
      <c r="H1623" s="656" t="s">
        <v>1183</v>
      </c>
      <c r="I1623" s="656" t="s">
        <v>58</v>
      </c>
      <c r="J1623" s="655">
        <v>22</v>
      </c>
      <c r="K1623" s="655">
        <v>1</v>
      </c>
      <c r="L1623" s="656" t="s">
        <v>34</v>
      </c>
      <c r="M1623" s="656" t="s">
        <v>448</v>
      </c>
      <c r="N1623" s="656" t="s">
        <v>449</v>
      </c>
      <c r="O1623" s="656" t="s">
        <v>449</v>
      </c>
      <c r="P1623" s="656" t="s">
        <v>1176</v>
      </c>
      <c r="Q1623" s="657">
        <v>0</v>
      </c>
      <c r="R1623" s="657">
        <v>0</v>
      </c>
      <c r="S1623" s="657">
        <v>10930</v>
      </c>
      <c r="T1623" s="657">
        <v>10930</v>
      </c>
      <c r="U1623" s="657">
        <v>1236</v>
      </c>
      <c r="V1623" s="655">
        <v>2021</v>
      </c>
      <c r="W1623" s="659"/>
      <c r="X1623" s="660">
        <f t="shared" si="77"/>
        <v>8.8430420711974111</v>
      </c>
      <c r="Y1623" s="661" t="str">
        <f t="shared" si="75"/>
        <v/>
      </c>
      <c r="Z1623" s="661" t="str">
        <f t="shared" si="76"/>
        <v/>
      </c>
    </row>
    <row r="1624" spans="1:26" s="128" customFormat="1" ht="25">
      <c r="A1624" s="655">
        <v>61163</v>
      </c>
      <c r="B1624" s="656" t="s">
        <v>33</v>
      </c>
      <c r="C1624" s="655" t="s">
        <v>2793</v>
      </c>
      <c r="D1624" s="656" t="s">
        <v>2357</v>
      </c>
      <c r="E1624" s="656" t="s">
        <v>2053</v>
      </c>
      <c r="F1624" s="655">
        <v>60792</v>
      </c>
      <c r="G1624" s="656" t="s">
        <v>81</v>
      </c>
      <c r="H1624" s="656" t="s">
        <v>1183</v>
      </c>
      <c r="I1624" s="656" t="s">
        <v>58</v>
      </c>
      <c r="J1624" s="655">
        <v>22</v>
      </c>
      <c r="K1624" s="655">
        <v>2</v>
      </c>
      <c r="L1624" s="656" t="s">
        <v>52</v>
      </c>
      <c r="M1624" s="656" t="s">
        <v>448</v>
      </c>
      <c r="N1624" s="656" t="s">
        <v>449</v>
      </c>
      <c r="O1624" s="656" t="s">
        <v>449</v>
      </c>
      <c r="P1624" s="656" t="s">
        <v>1176</v>
      </c>
      <c r="Q1624" s="657">
        <v>0</v>
      </c>
      <c r="R1624" s="657">
        <v>0</v>
      </c>
      <c r="S1624" s="657">
        <v>13866</v>
      </c>
      <c r="T1624" s="657">
        <v>13866</v>
      </c>
      <c r="U1624" s="657">
        <v>1568</v>
      </c>
      <c r="V1624" s="655">
        <v>2021</v>
      </c>
      <c r="W1624" s="659"/>
      <c r="X1624" s="660">
        <f t="shared" si="77"/>
        <v>8.8431122448979593</v>
      </c>
      <c r="Y1624" s="661" t="str">
        <f t="shared" si="75"/>
        <v/>
      </c>
      <c r="Z1624" s="661" t="str">
        <f t="shared" si="76"/>
        <v/>
      </c>
    </row>
    <row r="1625" spans="1:26" s="128" customFormat="1" ht="25">
      <c r="A1625" s="655">
        <v>61164</v>
      </c>
      <c r="B1625" s="656" t="s">
        <v>33</v>
      </c>
      <c r="C1625" s="655" t="s">
        <v>2793</v>
      </c>
      <c r="D1625" s="656" t="s">
        <v>2358</v>
      </c>
      <c r="E1625" s="656" t="s">
        <v>2053</v>
      </c>
      <c r="F1625" s="655">
        <v>60792</v>
      </c>
      <c r="G1625" s="656" t="s">
        <v>81</v>
      </c>
      <c r="H1625" s="656" t="s">
        <v>1183</v>
      </c>
      <c r="I1625" s="656" t="s">
        <v>58</v>
      </c>
      <c r="J1625" s="655">
        <v>22</v>
      </c>
      <c r="K1625" s="655">
        <v>2</v>
      </c>
      <c r="L1625" s="656" t="s">
        <v>52</v>
      </c>
      <c r="M1625" s="656" t="s">
        <v>448</v>
      </c>
      <c r="N1625" s="656" t="s">
        <v>449</v>
      </c>
      <c r="O1625" s="656" t="s">
        <v>449</v>
      </c>
      <c r="P1625" s="656" t="s">
        <v>1176</v>
      </c>
      <c r="Q1625" s="657">
        <v>0</v>
      </c>
      <c r="R1625" s="657">
        <v>0</v>
      </c>
      <c r="S1625" s="657">
        <v>14706</v>
      </c>
      <c r="T1625" s="657">
        <v>14706</v>
      </c>
      <c r="U1625" s="657">
        <v>1663</v>
      </c>
      <c r="V1625" s="655">
        <v>2021</v>
      </c>
      <c r="W1625" s="659"/>
      <c r="X1625" s="660">
        <f t="shared" si="77"/>
        <v>8.8430547203848473</v>
      </c>
      <c r="Y1625" s="661" t="str">
        <f t="shared" si="75"/>
        <v/>
      </c>
      <c r="Z1625" s="661" t="str">
        <f t="shared" si="76"/>
        <v/>
      </c>
    </row>
    <row r="1626" spans="1:26" s="128" customFormat="1" ht="25" hidden="1">
      <c r="A1626" s="655">
        <v>61186</v>
      </c>
      <c r="B1626" s="656" t="s">
        <v>54</v>
      </c>
      <c r="C1626" s="655" t="s">
        <v>2793</v>
      </c>
      <c r="D1626" s="656" t="s">
        <v>2187</v>
      </c>
      <c r="E1626" s="656" t="s">
        <v>2188</v>
      </c>
      <c r="F1626" s="655">
        <v>60816</v>
      </c>
      <c r="G1626" s="656" t="s">
        <v>81</v>
      </c>
      <c r="H1626" s="656" t="s">
        <v>1183</v>
      </c>
      <c r="I1626" s="656" t="s">
        <v>58</v>
      </c>
      <c r="J1626" s="655">
        <v>622</v>
      </c>
      <c r="K1626" s="655">
        <v>5</v>
      </c>
      <c r="L1626" s="656" t="s">
        <v>413</v>
      </c>
      <c r="M1626" s="656" t="s">
        <v>51</v>
      </c>
      <c r="N1626" s="656" t="s">
        <v>39</v>
      </c>
      <c r="O1626" s="656" t="s">
        <v>39</v>
      </c>
      <c r="P1626" s="656" t="s">
        <v>1037</v>
      </c>
      <c r="Q1626" s="657">
        <v>141053</v>
      </c>
      <c r="R1626" s="657">
        <v>127730</v>
      </c>
      <c r="S1626" s="657">
        <v>145566</v>
      </c>
      <c r="T1626" s="657">
        <v>131817</v>
      </c>
      <c r="U1626" s="657">
        <v>11352</v>
      </c>
      <c r="V1626" s="655">
        <v>2021</v>
      </c>
      <c r="W1626" s="659"/>
      <c r="X1626" s="660" t="str">
        <f t="shared" si="77"/>
        <v/>
      </c>
      <c r="Y1626" s="661" t="str">
        <f t="shared" si="75"/>
        <v/>
      </c>
      <c r="Z1626" s="661" t="str">
        <f t="shared" si="76"/>
        <v/>
      </c>
    </row>
    <row r="1627" spans="1:26" s="128" customFormat="1" ht="25" hidden="1">
      <c r="A1627" s="655">
        <v>61207</v>
      </c>
      <c r="B1627" s="656" t="s">
        <v>33</v>
      </c>
      <c r="C1627" s="655" t="s">
        <v>2793</v>
      </c>
      <c r="D1627" s="656" t="s">
        <v>2054</v>
      </c>
      <c r="E1627" s="656" t="s">
        <v>1643</v>
      </c>
      <c r="F1627" s="655">
        <v>58756</v>
      </c>
      <c r="G1627" s="656" t="s">
        <v>57</v>
      </c>
      <c r="H1627" s="656" t="s">
        <v>1182</v>
      </c>
      <c r="I1627" s="656" t="s">
        <v>58</v>
      </c>
      <c r="J1627" s="655">
        <v>22</v>
      </c>
      <c r="K1627" s="655">
        <v>2</v>
      </c>
      <c r="L1627" s="656" t="s">
        <v>52</v>
      </c>
      <c r="M1627" s="656" t="s">
        <v>35</v>
      </c>
      <c r="N1627" s="656" t="s">
        <v>36</v>
      </c>
      <c r="O1627" s="656" t="s">
        <v>37</v>
      </c>
      <c r="P1627" s="656" t="s">
        <v>1176</v>
      </c>
      <c r="Q1627" s="657">
        <v>0</v>
      </c>
      <c r="R1627" s="657">
        <v>0</v>
      </c>
      <c r="S1627" s="657">
        <v>396611</v>
      </c>
      <c r="T1627" s="657">
        <v>396611</v>
      </c>
      <c r="U1627" s="657">
        <v>44850</v>
      </c>
      <c r="V1627" s="655">
        <v>2021</v>
      </c>
      <c r="W1627" s="659"/>
      <c r="X1627" s="660">
        <f t="shared" si="77"/>
        <v>8.8430546265328882</v>
      </c>
      <c r="Y1627" s="661" t="str">
        <f t="shared" si="75"/>
        <v/>
      </c>
      <c r="Z1627" s="661" t="str">
        <f t="shared" si="76"/>
        <v/>
      </c>
    </row>
    <row r="1628" spans="1:26" s="128" customFormat="1" hidden="1">
      <c r="A1628" s="655">
        <v>61210</v>
      </c>
      <c r="B1628" s="656" t="s">
        <v>33</v>
      </c>
      <c r="C1628" s="655" t="s">
        <v>2793</v>
      </c>
      <c r="D1628" s="656" t="s">
        <v>2055</v>
      </c>
      <c r="E1628" s="656" t="s">
        <v>2056</v>
      </c>
      <c r="F1628" s="655">
        <v>60833</v>
      </c>
      <c r="G1628" s="656" t="s">
        <v>57</v>
      </c>
      <c r="H1628" s="656" t="s">
        <v>1182</v>
      </c>
      <c r="I1628" s="656" t="s">
        <v>58</v>
      </c>
      <c r="J1628" s="655">
        <v>22</v>
      </c>
      <c r="K1628" s="655">
        <v>2</v>
      </c>
      <c r="L1628" s="656" t="s">
        <v>52</v>
      </c>
      <c r="M1628" s="656" t="s">
        <v>448</v>
      </c>
      <c r="N1628" s="656" t="s">
        <v>449</v>
      </c>
      <c r="O1628" s="656" t="s">
        <v>449</v>
      </c>
      <c r="P1628" s="656" t="s">
        <v>1176</v>
      </c>
      <c r="Q1628" s="657">
        <v>0</v>
      </c>
      <c r="R1628" s="657">
        <v>0</v>
      </c>
      <c r="S1628" s="657">
        <v>30420</v>
      </c>
      <c r="T1628" s="657">
        <v>30420</v>
      </c>
      <c r="U1628" s="657">
        <v>3440</v>
      </c>
      <c r="V1628" s="655">
        <v>2021</v>
      </c>
      <c r="W1628" s="659"/>
      <c r="X1628" s="660">
        <f t="shared" si="77"/>
        <v>8.8430232558139537</v>
      </c>
      <c r="Y1628" s="661" t="str">
        <f t="shared" si="75"/>
        <v/>
      </c>
      <c r="Z1628" s="661" t="str">
        <f t="shared" si="76"/>
        <v/>
      </c>
    </row>
    <row r="1629" spans="1:26" s="128" customFormat="1" ht="25">
      <c r="A1629" s="655">
        <v>61237</v>
      </c>
      <c r="B1629" s="656" t="s">
        <v>33</v>
      </c>
      <c r="C1629" s="655" t="s">
        <v>2793</v>
      </c>
      <c r="D1629" s="656" t="s">
        <v>2057</v>
      </c>
      <c r="E1629" s="656" t="s">
        <v>1765</v>
      </c>
      <c r="F1629" s="655">
        <v>59254</v>
      </c>
      <c r="G1629" s="656" t="s">
        <v>81</v>
      </c>
      <c r="H1629" s="656" t="s">
        <v>1183</v>
      </c>
      <c r="I1629" s="656" t="s">
        <v>58</v>
      </c>
      <c r="J1629" s="655">
        <v>22</v>
      </c>
      <c r="K1629" s="655">
        <v>2</v>
      </c>
      <c r="L1629" s="656" t="s">
        <v>52</v>
      </c>
      <c r="M1629" s="656" t="s">
        <v>448</v>
      </c>
      <c r="N1629" s="656" t="s">
        <v>449</v>
      </c>
      <c r="O1629" s="656" t="s">
        <v>449</v>
      </c>
      <c r="P1629" s="656" t="s">
        <v>1176</v>
      </c>
      <c r="Q1629" s="657">
        <v>0</v>
      </c>
      <c r="R1629" s="657">
        <v>0</v>
      </c>
      <c r="S1629" s="657">
        <v>33745</v>
      </c>
      <c r="T1629" s="657">
        <v>33745</v>
      </c>
      <c r="U1629" s="657">
        <v>3816</v>
      </c>
      <c r="V1629" s="655">
        <v>2021</v>
      </c>
      <c r="W1629" s="659"/>
      <c r="X1629" s="660">
        <f t="shared" si="77"/>
        <v>8.8430293501048212</v>
      </c>
      <c r="Y1629" s="661" t="str">
        <f t="shared" si="75"/>
        <v/>
      </c>
      <c r="Z1629" s="661" t="str">
        <f t="shared" si="76"/>
        <v/>
      </c>
    </row>
    <row r="1630" spans="1:26" s="128" customFormat="1" ht="25" hidden="1">
      <c r="A1630" s="655">
        <v>61238</v>
      </c>
      <c r="B1630" s="656" t="s">
        <v>54</v>
      </c>
      <c r="C1630" s="655" t="s">
        <v>2793</v>
      </c>
      <c r="D1630" s="656" t="s">
        <v>2058</v>
      </c>
      <c r="E1630" s="656" t="s">
        <v>2059</v>
      </c>
      <c r="F1630" s="655">
        <v>60883</v>
      </c>
      <c r="G1630" s="656" t="s">
        <v>57</v>
      </c>
      <c r="H1630" s="656" t="s">
        <v>1182</v>
      </c>
      <c r="I1630" s="656" t="s">
        <v>58</v>
      </c>
      <c r="J1630" s="655">
        <v>622</v>
      </c>
      <c r="K1630" s="655">
        <v>5</v>
      </c>
      <c r="L1630" s="656" t="s">
        <v>413</v>
      </c>
      <c r="M1630" s="656" t="s">
        <v>50</v>
      </c>
      <c r="N1630" s="656" t="s">
        <v>39</v>
      </c>
      <c r="O1630" s="656" t="s">
        <v>39</v>
      </c>
      <c r="P1630" s="656" t="s">
        <v>1037</v>
      </c>
      <c r="Q1630" s="657">
        <v>626960</v>
      </c>
      <c r="R1630" s="657">
        <v>626960</v>
      </c>
      <c r="S1630" s="657">
        <v>645769</v>
      </c>
      <c r="T1630" s="657">
        <v>645769</v>
      </c>
      <c r="U1630" s="657">
        <v>60171</v>
      </c>
      <c r="V1630" s="655">
        <v>2021</v>
      </c>
      <c r="W1630" s="659"/>
      <c r="X1630" s="660" t="str">
        <f t="shared" si="77"/>
        <v/>
      </c>
      <c r="Y1630" s="661" t="str">
        <f t="shared" si="75"/>
        <v/>
      </c>
      <c r="Z1630" s="661" t="str">
        <f t="shared" si="76"/>
        <v/>
      </c>
    </row>
    <row r="1631" spans="1:26" s="128" customFormat="1" ht="25" hidden="1">
      <c r="A1631" s="655">
        <v>61238</v>
      </c>
      <c r="B1631" s="656" t="s">
        <v>54</v>
      </c>
      <c r="C1631" s="655" t="s">
        <v>2793</v>
      </c>
      <c r="D1631" s="656" t="s">
        <v>2058</v>
      </c>
      <c r="E1631" s="656" t="s">
        <v>2059</v>
      </c>
      <c r="F1631" s="655">
        <v>60883</v>
      </c>
      <c r="G1631" s="656" t="s">
        <v>57</v>
      </c>
      <c r="H1631" s="656" t="s">
        <v>1182</v>
      </c>
      <c r="I1631" s="656" t="s">
        <v>58</v>
      </c>
      <c r="J1631" s="655">
        <v>622</v>
      </c>
      <c r="K1631" s="655">
        <v>5</v>
      </c>
      <c r="L1631" s="656" t="s">
        <v>413</v>
      </c>
      <c r="M1631" s="656" t="s">
        <v>51</v>
      </c>
      <c r="N1631" s="656" t="s">
        <v>46</v>
      </c>
      <c r="O1631" s="656" t="s">
        <v>46</v>
      </c>
      <c r="P1631" s="656" t="s">
        <v>47</v>
      </c>
      <c r="Q1631" s="657">
        <v>243</v>
      </c>
      <c r="R1631" s="657">
        <v>113</v>
      </c>
      <c r="S1631" s="657">
        <v>1341</v>
      </c>
      <c r="T1631" s="657">
        <v>624</v>
      </c>
      <c r="U1631" s="657">
        <v>52</v>
      </c>
      <c r="V1631" s="655">
        <v>2021</v>
      </c>
      <c r="W1631" s="659"/>
      <c r="X1631" s="660" t="str">
        <f t="shared" si="77"/>
        <v/>
      </c>
      <c r="Y1631" s="661" t="str">
        <f t="shared" si="75"/>
        <v/>
      </c>
      <c r="Z1631" s="661" t="str">
        <f t="shared" si="76"/>
        <v/>
      </c>
    </row>
    <row r="1632" spans="1:26" s="128" customFormat="1">
      <c r="A1632" s="655">
        <v>61243</v>
      </c>
      <c r="B1632" s="656" t="s">
        <v>33</v>
      </c>
      <c r="C1632" s="655" t="s">
        <v>2793</v>
      </c>
      <c r="D1632" s="656" t="s">
        <v>2060</v>
      </c>
      <c r="E1632" s="656" t="s">
        <v>1765</v>
      </c>
      <c r="F1632" s="655">
        <v>59254</v>
      </c>
      <c r="G1632" s="656" t="s">
        <v>81</v>
      </c>
      <c r="H1632" s="656" t="s">
        <v>1183</v>
      </c>
      <c r="I1632" s="656" t="s">
        <v>58</v>
      </c>
      <c r="J1632" s="655">
        <v>22</v>
      </c>
      <c r="K1632" s="655">
        <v>2</v>
      </c>
      <c r="L1632" s="656" t="s">
        <v>52</v>
      </c>
      <c r="M1632" s="656" t="s">
        <v>448</v>
      </c>
      <c r="N1632" s="656" t="s">
        <v>449</v>
      </c>
      <c r="O1632" s="656" t="s">
        <v>449</v>
      </c>
      <c r="P1632" s="656" t="s">
        <v>1176</v>
      </c>
      <c r="Q1632" s="657">
        <v>0</v>
      </c>
      <c r="R1632" s="657">
        <v>0</v>
      </c>
      <c r="S1632" s="657">
        <v>60946</v>
      </c>
      <c r="T1632" s="657">
        <v>60946</v>
      </c>
      <c r="U1632" s="657">
        <v>6892</v>
      </c>
      <c r="V1632" s="655">
        <v>2021</v>
      </c>
      <c r="W1632" s="659"/>
      <c r="X1632" s="660">
        <f t="shared" si="77"/>
        <v>8.8430063842135809</v>
      </c>
      <c r="Y1632" s="661" t="str">
        <f t="shared" si="75"/>
        <v/>
      </c>
      <c r="Z1632" s="661" t="str">
        <f t="shared" si="76"/>
        <v/>
      </c>
    </row>
    <row r="1633" spans="1:26" s="128" customFormat="1">
      <c r="A1633" s="655">
        <v>61244</v>
      </c>
      <c r="B1633" s="656" t="s">
        <v>33</v>
      </c>
      <c r="C1633" s="655" t="s">
        <v>2793</v>
      </c>
      <c r="D1633" s="656" t="s">
        <v>2061</v>
      </c>
      <c r="E1633" s="656" t="s">
        <v>1765</v>
      </c>
      <c r="F1633" s="655">
        <v>59254</v>
      </c>
      <c r="G1633" s="656" t="s">
        <v>81</v>
      </c>
      <c r="H1633" s="656" t="s">
        <v>1183</v>
      </c>
      <c r="I1633" s="656" t="s">
        <v>58</v>
      </c>
      <c r="J1633" s="655">
        <v>22</v>
      </c>
      <c r="K1633" s="655">
        <v>2</v>
      </c>
      <c r="L1633" s="656" t="s">
        <v>52</v>
      </c>
      <c r="M1633" s="656" t="s">
        <v>448</v>
      </c>
      <c r="N1633" s="656" t="s">
        <v>449</v>
      </c>
      <c r="O1633" s="656" t="s">
        <v>449</v>
      </c>
      <c r="P1633" s="656" t="s">
        <v>1176</v>
      </c>
      <c r="Q1633" s="657">
        <v>0</v>
      </c>
      <c r="R1633" s="657">
        <v>0</v>
      </c>
      <c r="S1633" s="657">
        <v>19366</v>
      </c>
      <c r="T1633" s="657">
        <v>19366</v>
      </c>
      <c r="U1633" s="657">
        <v>2190</v>
      </c>
      <c r="V1633" s="655">
        <v>2021</v>
      </c>
      <c r="W1633" s="659"/>
      <c r="X1633" s="660">
        <f t="shared" si="77"/>
        <v>8.8429223744292234</v>
      </c>
      <c r="Y1633" s="661" t="str">
        <f t="shared" si="75"/>
        <v/>
      </c>
      <c r="Z1633" s="661" t="str">
        <f t="shared" si="76"/>
        <v/>
      </c>
    </row>
    <row r="1634" spans="1:26" s="128" customFormat="1">
      <c r="A1634" s="655">
        <v>61245</v>
      </c>
      <c r="B1634" s="656" t="s">
        <v>33</v>
      </c>
      <c r="C1634" s="655" t="s">
        <v>2793</v>
      </c>
      <c r="D1634" s="656" t="s">
        <v>2062</v>
      </c>
      <c r="E1634" s="656" t="s">
        <v>1765</v>
      </c>
      <c r="F1634" s="655">
        <v>59254</v>
      </c>
      <c r="G1634" s="656" t="s">
        <v>81</v>
      </c>
      <c r="H1634" s="656" t="s">
        <v>1183</v>
      </c>
      <c r="I1634" s="656" t="s">
        <v>58</v>
      </c>
      <c r="J1634" s="655">
        <v>22</v>
      </c>
      <c r="K1634" s="655">
        <v>2</v>
      </c>
      <c r="L1634" s="656" t="s">
        <v>52</v>
      </c>
      <c r="M1634" s="656" t="s">
        <v>448</v>
      </c>
      <c r="N1634" s="656" t="s">
        <v>449</v>
      </c>
      <c r="O1634" s="656" t="s">
        <v>449</v>
      </c>
      <c r="P1634" s="656" t="s">
        <v>1176</v>
      </c>
      <c r="Q1634" s="657">
        <v>0</v>
      </c>
      <c r="R1634" s="657">
        <v>0</v>
      </c>
      <c r="S1634" s="657">
        <v>60946</v>
      </c>
      <c r="T1634" s="657">
        <v>60946</v>
      </c>
      <c r="U1634" s="657">
        <v>6892</v>
      </c>
      <c r="V1634" s="655">
        <v>2021</v>
      </c>
      <c r="W1634" s="659"/>
      <c r="X1634" s="660">
        <f t="shared" si="77"/>
        <v>8.8430063842135809</v>
      </c>
      <c r="Y1634" s="661" t="str">
        <f t="shared" si="75"/>
        <v/>
      </c>
      <c r="Z1634" s="661" t="str">
        <f t="shared" si="76"/>
        <v/>
      </c>
    </row>
    <row r="1635" spans="1:26" s="128" customFormat="1" ht="25">
      <c r="A1635" s="655">
        <v>61294</v>
      </c>
      <c r="B1635" s="656" t="s">
        <v>33</v>
      </c>
      <c r="C1635" s="655" t="s">
        <v>2793</v>
      </c>
      <c r="D1635" s="656" t="s">
        <v>2189</v>
      </c>
      <c r="E1635" s="656" t="s">
        <v>2190</v>
      </c>
      <c r="F1635" s="655">
        <v>60921</v>
      </c>
      <c r="G1635" s="656" t="s">
        <v>81</v>
      </c>
      <c r="H1635" s="656" t="s">
        <v>1183</v>
      </c>
      <c r="I1635" s="656" t="s">
        <v>58</v>
      </c>
      <c r="J1635" s="655">
        <v>22</v>
      </c>
      <c r="K1635" s="655">
        <v>2</v>
      </c>
      <c r="L1635" s="656" t="s">
        <v>52</v>
      </c>
      <c r="M1635" s="656" t="s">
        <v>448</v>
      </c>
      <c r="N1635" s="656" t="s">
        <v>449</v>
      </c>
      <c r="O1635" s="656" t="s">
        <v>449</v>
      </c>
      <c r="P1635" s="656" t="s">
        <v>1176</v>
      </c>
      <c r="Q1635" s="657">
        <v>0</v>
      </c>
      <c r="R1635" s="657">
        <v>0</v>
      </c>
      <c r="S1635" s="657">
        <v>14202</v>
      </c>
      <c r="T1635" s="657">
        <v>14202</v>
      </c>
      <c r="U1635" s="657">
        <v>1606</v>
      </c>
      <c r="V1635" s="655">
        <v>2021</v>
      </c>
      <c r="W1635" s="659"/>
      <c r="X1635" s="660">
        <f t="shared" si="77"/>
        <v>8.8430884184308844</v>
      </c>
      <c r="Y1635" s="661" t="str">
        <f t="shared" si="75"/>
        <v/>
      </c>
      <c r="Z1635" s="661" t="str">
        <f t="shared" si="76"/>
        <v/>
      </c>
    </row>
    <row r="1636" spans="1:26" s="128" customFormat="1" ht="25">
      <c r="A1636" s="655">
        <v>61295</v>
      </c>
      <c r="B1636" s="656" t="s">
        <v>33</v>
      </c>
      <c r="C1636" s="655" t="s">
        <v>2793</v>
      </c>
      <c r="D1636" s="656" t="s">
        <v>2191</v>
      </c>
      <c r="E1636" s="656" t="s">
        <v>2192</v>
      </c>
      <c r="F1636" s="655">
        <v>60922</v>
      </c>
      <c r="G1636" s="656" t="s">
        <v>81</v>
      </c>
      <c r="H1636" s="656" t="s">
        <v>1183</v>
      </c>
      <c r="I1636" s="656" t="s">
        <v>58</v>
      </c>
      <c r="J1636" s="655">
        <v>22</v>
      </c>
      <c r="K1636" s="655">
        <v>2</v>
      </c>
      <c r="L1636" s="656" t="s">
        <v>52</v>
      </c>
      <c r="M1636" s="656" t="s">
        <v>448</v>
      </c>
      <c r="N1636" s="656" t="s">
        <v>449</v>
      </c>
      <c r="O1636" s="656" t="s">
        <v>449</v>
      </c>
      <c r="P1636" s="656" t="s">
        <v>1176</v>
      </c>
      <c r="Q1636" s="657">
        <v>0</v>
      </c>
      <c r="R1636" s="657">
        <v>0</v>
      </c>
      <c r="S1636" s="657">
        <v>56303</v>
      </c>
      <c r="T1636" s="657">
        <v>56303</v>
      </c>
      <c r="U1636" s="657">
        <v>6367</v>
      </c>
      <c r="V1636" s="655">
        <v>2021</v>
      </c>
      <c r="W1636" s="659"/>
      <c r="X1636" s="660">
        <f t="shared" si="77"/>
        <v>8.8429401602010369</v>
      </c>
      <c r="Y1636" s="661" t="str">
        <f t="shared" si="75"/>
        <v/>
      </c>
      <c r="Z1636" s="661" t="str">
        <f t="shared" si="76"/>
        <v/>
      </c>
    </row>
    <row r="1637" spans="1:26" s="128" customFormat="1" ht="25">
      <c r="A1637" s="655">
        <v>61296</v>
      </c>
      <c r="B1637" s="656" t="s">
        <v>33</v>
      </c>
      <c r="C1637" s="655" t="s">
        <v>2793</v>
      </c>
      <c r="D1637" s="656" t="s">
        <v>2193</v>
      </c>
      <c r="E1637" s="656" t="s">
        <v>2194</v>
      </c>
      <c r="F1637" s="655">
        <v>60923</v>
      </c>
      <c r="G1637" s="656" t="s">
        <v>81</v>
      </c>
      <c r="H1637" s="656" t="s">
        <v>1183</v>
      </c>
      <c r="I1637" s="656" t="s">
        <v>58</v>
      </c>
      <c r="J1637" s="655">
        <v>22</v>
      </c>
      <c r="K1637" s="655">
        <v>2</v>
      </c>
      <c r="L1637" s="656" t="s">
        <v>52</v>
      </c>
      <c r="M1637" s="656" t="s">
        <v>448</v>
      </c>
      <c r="N1637" s="656" t="s">
        <v>449</v>
      </c>
      <c r="O1637" s="656" t="s">
        <v>449</v>
      </c>
      <c r="P1637" s="656" t="s">
        <v>1176</v>
      </c>
      <c r="Q1637" s="657">
        <v>0</v>
      </c>
      <c r="R1637" s="657">
        <v>0</v>
      </c>
      <c r="S1637" s="657">
        <v>20932</v>
      </c>
      <c r="T1637" s="657">
        <v>20932</v>
      </c>
      <c r="U1637" s="657">
        <v>2367</v>
      </c>
      <c r="V1637" s="655">
        <v>2021</v>
      </c>
      <c r="W1637" s="659"/>
      <c r="X1637" s="660">
        <f t="shared" si="77"/>
        <v>8.8432615124630338</v>
      </c>
      <c r="Y1637" s="661" t="str">
        <f t="shared" si="75"/>
        <v/>
      </c>
      <c r="Z1637" s="661" t="str">
        <f t="shared" si="76"/>
        <v/>
      </c>
    </row>
    <row r="1638" spans="1:26" s="128" customFormat="1">
      <c r="A1638" s="655">
        <v>61297</v>
      </c>
      <c r="B1638" s="656" t="s">
        <v>33</v>
      </c>
      <c r="C1638" s="655" t="s">
        <v>2793</v>
      </c>
      <c r="D1638" s="656" t="s">
        <v>2195</v>
      </c>
      <c r="E1638" s="656" t="s">
        <v>2196</v>
      </c>
      <c r="F1638" s="655">
        <v>60924</v>
      </c>
      <c r="G1638" s="656" t="s">
        <v>81</v>
      </c>
      <c r="H1638" s="656" t="s">
        <v>1183</v>
      </c>
      <c r="I1638" s="656" t="s">
        <v>58</v>
      </c>
      <c r="J1638" s="655">
        <v>22</v>
      </c>
      <c r="K1638" s="655">
        <v>2</v>
      </c>
      <c r="L1638" s="656" t="s">
        <v>52</v>
      </c>
      <c r="M1638" s="656" t="s">
        <v>448</v>
      </c>
      <c r="N1638" s="656" t="s">
        <v>449</v>
      </c>
      <c r="O1638" s="656" t="s">
        <v>449</v>
      </c>
      <c r="P1638" s="656" t="s">
        <v>1176</v>
      </c>
      <c r="Q1638" s="657">
        <v>0</v>
      </c>
      <c r="R1638" s="657">
        <v>0</v>
      </c>
      <c r="S1638" s="657">
        <v>28837</v>
      </c>
      <c r="T1638" s="657">
        <v>28837</v>
      </c>
      <c r="U1638" s="657">
        <v>3261</v>
      </c>
      <c r="V1638" s="655">
        <v>2021</v>
      </c>
      <c r="W1638" s="659"/>
      <c r="X1638" s="660">
        <f t="shared" si="77"/>
        <v>8.8429929469487885</v>
      </c>
      <c r="Y1638" s="661" t="str">
        <f t="shared" si="75"/>
        <v/>
      </c>
      <c r="Z1638" s="661" t="str">
        <f t="shared" si="76"/>
        <v/>
      </c>
    </row>
    <row r="1639" spans="1:26" s="128" customFormat="1" ht="25">
      <c r="A1639" s="655">
        <v>61298</v>
      </c>
      <c r="B1639" s="656" t="s">
        <v>33</v>
      </c>
      <c r="C1639" s="655" t="s">
        <v>2793</v>
      </c>
      <c r="D1639" s="656" t="s">
        <v>2197</v>
      </c>
      <c r="E1639" s="656" t="s">
        <v>2198</v>
      </c>
      <c r="F1639" s="655">
        <v>60925</v>
      </c>
      <c r="G1639" s="656" t="s">
        <v>81</v>
      </c>
      <c r="H1639" s="656" t="s">
        <v>1183</v>
      </c>
      <c r="I1639" s="656" t="s">
        <v>58</v>
      </c>
      <c r="J1639" s="655">
        <v>22</v>
      </c>
      <c r="K1639" s="655">
        <v>2</v>
      </c>
      <c r="L1639" s="656" t="s">
        <v>52</v>
      </c>
      <c r="M1639" s="656" t="s">
        <v>448</v>
      </c>
      <c r="N1639" s="656" t="s">
        <v>449</v>
      </c>
      <c r="O1639" s="656" t="s">
        <v>449</v>
      </c>
      <c r="P1639" s="656" t="s">
        <v>1176</v>
      </c>
      <c r="Q1639" s="657">
        <v>0</v>
      </c>
      <c r="R1639" s="657">
        <v>0</v>
      </c>
      <c r="S1639" s="657">
        <v>12168</v>
      </c>
      <c r="T1639" s="657">
        <v>12168</v>
      </c>
      <c r="U1639" s="657">
        <v>1376</v>
      </c>
      <c r="V1639" s="655">
        <v>2021</v>
      </c>
      <c r="W1639" s="659"/>
      <c r="X1639" s="660">
        <f t="shared" si="77"/>
        <v>8.8430232558139537</v>
      </c>
      <c r="Y1639" s="661" t="str">
        <f t="shared" si="75"/>
        <v/>
      </c>
      <c r="Z1639" s="661" t="str">
        <f t="shared" si="76"/>
        <v/>
      </c>
    </row>
    <row r="1640" spans="1:26" s="128" customFormat="1" ht="25">
      <c r="A1640" s="655">
        <v>61299</v>
      </c>
      <c r="B1640" s="656" t="s">
        <v>33</v>
      </c>
      <c r="C1640" s="655" t="s">
        <v>2793</v>
      </c>
      <c r="D1640" s="656" t="s">
        <v>2199</v>
      </c>
      <c r="E1640" s="656" t="s">
        <v>2200</v>
      </c>
      <c r="F1640" s="655">
        <v>60926</v>
      </c>
      <c r="G1640" s="656" t="s">
        <v>81</v>
      </c>
      <c r="H1640" s="656" t="s">
        <v>1183</v>
      </c>
      <c r="I1640" s="656" t="s">
        <v>58</v>
      </c>
      <c r="J1640" s="655">
        <v>22</v>
      </c>
      <c r="K1640" s="655">
        <v>2</v>
      </c>
      <c r="L1640" s="656" t="s">
        <v>52</v>
      </c>
      <c r="M1640" s="656" t="s">
        <v>448</v>
      </c>
      <c r="N1640" s="656" t="s">
        <v>449</v>
      </c>
      <c r="O1640" s="656" t="s">
        <v>449</v>
      </c>
      <c r="P1640" s="656" t="s">
        <v>1176</v>
      </c>
      <c r="Q1640" s="657">
        <v>0</v>
      </c>
      <c r="R1640" s="657">
        <v>0</v>
      </c>
      <c r="S1640" s="657">
        <v>25930</v>
      </c>
      <c r="T1640" s="657">
        <v>25930</v>
      </c>
      <c r="U1640" s="657">
        <v>2932</v>
      </c>
      <c r="V1640" s="655">
        <v>2021</v>
      </c>
      <c r="W1640" s="659"/>
      <c r="X1640" s="660">
        <f t="shared" si="77"/>
        <v>8.8437926330150063</v>
      </c>
      <c r="Y1640" s="661" t="str">
        <f t="shared" si="75"/>
        <v/>
      </c>
      <c r="Z1640" s="661" t="str">
        <f t="shared" si="76"/>
        <v/>
      </c>
    </row>
    <row r="1641" spans="1:26" s="128" customFormat="1">
      <c r="A1641" s="655">
        <v>61307</v>
      </c>
      <c r="B1641" s="656" t="s">
        <v>33</v>
      </c>
      <c r="C1641" s="655" t="s">
        <v>2793</v>
      </c>
      <c r="D1641" s="656" t="s">
        <v>2201</v>
      </c>
      <c r="E1641" s="656" t="s">
        <v>2202</v>
      </c>
      <c r="F1641" s="655">
        <v>60920</v>
      </c>
      <c r="G1641" s="656" t="s">
        <v>81</v>
      </c>
      <c r="H1641" s="656" t="s">
        <v>1183</v>
      </c>
      <c r="I1641" s="656" t="s">
        <v>58</v>
      </c>
      <c r="J1641" s="655">
        <v>22</v>
      </c>
      <c r="K1641" s="655">
        <v>2</v>
      </c>
      <c r="L1641" s="656" t="s">
        <v>52</v>
      </c>
      <c r="M1641" s="656" t="s">
        <v>448</v>
      </c>
      <c r="N1641" s="656" t="s">
        <v>449</v>
      </c>
      <c r="O1641" s="656" t="s">
        <v>449</v>
      </c>
      <c r="P1641" s="656" t="s">
        <v>1176</v>
      </c>
      <c r="Q1641" s="657">
        <v>0</v>
      </c>
      <c r="R1641" s="657">
        <v>0</v>
      </c>
      <c r="S1641" s="657">
        <v>37469</v>
      </c>
      <c r="T1641" s="657">
        <v>37469</v>
      </c>
      <c r="U1641" s="657">
        <v>4237</v>
      </c>
      <c r="V1641" s="655">
        <v>2021</v>
      </c>
      <c r="W1641" s="659"/>
      <c r="X1641" s="660">
        <f t="shared" si="77"/>
        <v>8.8432853434033518</v>
      </c>
      <c r="Y1641" s="661" t="str">
        <f t="shared" si="75"/>
        <v/>
      </c>
      <c r="Z1641" s="661" t="str">
        <f t="shared" si="76"/>
        <v/>
      </c>
    </row>
    <row r="1642" spans="1:26" s="128" customFormat="1" ht="25">
      <c r="A1642" s="655">
        <v>61308</v>
      </c>
      <c r="B1642" s="656" t="s">
        <v>33</v>
      </c>
      <c r="C1642" s="655" t="s">
        <v>2793</v>
      </c>
      <c r="D1642" s="656" t="s">
        <v>2203</v>
      </c>
      <c r="E1642" s="656" t="s">
        <v>2204</v>
      </c>
      <c r="F1642" s="655">
        <v>60919</v>
      </c>
      <c r="G1642" s="656" t="s">
        <v>81</v>
      </c>
      <c r="H1642" s="656" t="s">
        <v>1183</v>
      </c>
      <c r="I1642" s="656" t="s">
        <v>58</v>
      </c>
      <c r="J1642" s="655">
        <v>22</v>
      </c>
      <c r="K1642" s="655">
        <v>2</v>
      </c>
      <c r="L1642" s="656" t="s">
        <v>52</v>
      </c>
      <c r="M1642" s="656" t="s">
        <v>448</v>
      </c>
      <c r="N1642" s="656" t="s">
        <v>449</v>
      </c>
      <c r="O1642" s="656" t="s">
        <v>449</v>
      </c>
      <c r="P1642" s="656" t="s">
        <v>1176</v>
      </c>
      <c r="Q1642" s="657">
        <v>0</v>
      </c>
      <c r="R1642" s="657">
        <v>0</v>
      </c>
      <c r="S1642" s="657">
        <v>26511</v>
      </c>
      <c r="T1642" s="657">
        <v>26511</v>
      </c>
      <c r="U1642" s="657">
        <v>2998</v>
      </c>
      <c r="V1642" s="655">
        <v>2021</v>
      </c>
      <c r="W1642" s="659"/>
      <c r="X1642" s="660">
        <f t="shared" si="77"/>
        <v>8.8428952635090052</v>
      </c>
      <c r="Y1642" s="661" t="str">
        <f t="shared" si="75"/>
        <v/>
      </c>
      <c r="Z1642" s="661" t="str">
        <f t="shared" si="76"/>
        <v/>
      </c>
    </row>
    <row r="1643" spans="1:26" s="128" customFormat="1">
      <c r="A1643" s="655">
        <v>61315</v>
      </c>
      <c r="B1643" s="656" t="s">
        <v>33</v>
      </c>
      <c r="C1643" s="655" t="s">
        <v>2793</v>
      </c>
      <c r="D1643" s="656" t="s">
        <v>2205</v>
      </c>
      <c r="E1643" s="656" t="s">
        <v>2206</v>
      </c>
      <c r="F1643" s="655">
        <v>60917</v>
      </c>
      <c r="G1643" s="656" t="s">
        <v>81</v>
      </c>
      <c r="H1643" s="656" t="s">
        <v>1183</v>
      </c>
      <c r="I1643" s="656" t="s">
        <v>58</v>
      </c>
      <c r="J1643" s="655">
        <v>22</v>
      </c>
      <c r="K1643" s="655">
        <v>2</v>
      </c>
      <c r="L1643" s="656" t="s">
        <v>52</v>
      </c>
      <c r="M1643" s="656" t="s">
        <v>448</v>
      </c>
      <c r="N1643" s="656" t="s">
        <v>449</v>
      </c>
      <c r="O1643" s="656" t="s">
        <v>449</v>
      </c>
      <c r="P1643" s="656" t="s">
        <v>1176</v>
      </c>
      <c r="Q1643" s="657">
        <v>0</v>
      </c>
      <c r="R1643" s="657">
        <v>0</v>
      </c>
      <c r="S1643" s="657">
        <v>67357</v>
      </c>
      <c r="T1643" s="657">
        <v>67357</v>
      </c>
      <c r="U1643" s="657">
        <v>7617</v>
      </c>
      <c r="V1643" s="655">
        <v>2021</v>
      </c>
      <c r="W1643" s="659"/>
      <c r="X1643" s="660">
        <f t="shared" si="77"/>
        <v>8.8429828016279384</v>
      </c>
      <c r="Y1643" s="661" t="str">
        <f t="shared" si="75"/>
        <v/>
      </c>
      <c r="Z1643" s="661" t="str">
        <f t="shared" si="76"/>
        <v/>
      </c>
    </row>
    <row r="1644" spans="1:26" s="128" customFormat="1" ht="25" hidden="1">
      <c r="A1644" s="655">
        <v>61340</v>
      </c>
      <c r="B1644" s="656" t="s">
        <v>33</v>
      </c>
      <c r="C1644" s="655" t="s">
        <v>2793</v>
      </c>
      <c r="D1644" s="656" t="s">
        <v>2207</v>
      </c>
      <c r="E1644" s="656" t="s">
        <v>2157</v>
      </c>
      <c r="F1644" s="655">
        <v>61060</v>
      </c>
      <c r="G1644" s="656" t="s">
        <v>89</v>
      </c>
      <c r="H1644" s="656" t="s">
        <v>1183</v>
      </c>
      <c r="I1644" s="656" t="s">
        <v>58</v>
      </c>
      <c r="J1644" s="655">
        <v>22</v>
      </c>
      <c r="K1644" s="655">
        <v>2</v>
      </c>
      <c r="L1644" s="656" t="s">
        <v>52</v>
      </c>
      <c r="M1644" s="656" t="s">
        <v>448</v>
      </c>
      <c r="N1644" s="656" t="s">
        <v>449</v>
      </c>
      <c r="O1644" s="656" t="s">
        <v>449</v>
      </c>
      <c r="P1644" s="656" t="s">
        <v>1176</v>
      </c>
      <c r="Q1644" s="657">
        <v>0</v>
      </c>
      <c r="R1644" s="657">
        <v>0</v>
      </c>
      <c r="S1644" s="657">
        <v>35910</v>
      </c>
      <c r="T1644" s="657">
        <v>35910</v>
      </c>
      <c r="U1644" s="657">
        <v>4061</v>
      </c>
      <c r="V1644" s="655">
        <v>2021</v>
      </c>
      <c r="W1644" s="659"/>
      <c r="X1644" s="660">
        <f t="shared" si="77"/>
        <v>8.8426495936961338</v>
      </c>
      <c r="Y1644" s="661" t="str">
        <f t="shared" si="75"/>
        <v/>
      </c>
      <c r="Z1644" s="661" t="str">
        <f t="shared" si="76"/>
        <v/>
      </c>
    </row>
    <row r="1645" spans="1:26" s="128" customFormat="1" ht="25">
      <c r="A1645" s="655">
        <v>61341</v>
      </c>
      <c r="B1645" s="656" t="s">
        <v>33</v>
      </c>
      <c r="C1645" s="655" t="s">
        <v>2793</v>
      </c>
      <c r="D1645" s="656" t="s">
        <v>2063</v>
      </c>
      <c r="E1645" s="656" t="s">
        <v>3372</v>
      </c>
      <c r="F1645" s="655">
        <v>61944</v>
      </c>
      <c r="G1645" s="656" t="s">
        <v>81</v>
      </c>
      <c r="H1645" s="656" t="s">
        <v>1183</v>
      </c>
      <c r="I1645" s="656" t="s">
        <v>58</v>
      </c>
      <c r="J1645" s="655">
        <v>22</v>
      </c>
      <c r="K1645" s="655">
        <v>2</v>
      </c>
      <c r="L1645" s="656" t="s">
        <v>52</v>
      </c>
      <c r="M1645" s="656" t="s">
        <v>448</v>
      </c>
      <c r="N1645" s="656" t="s">
        <v>449</v>
      </c>
      <c r="O1645" s="656" t="s">
        <v>449</v>
      </c>
      <c r="P1645" s="656" t="s">
        <v>1176</v>
      </c>
      <c r="Q1645" s="657">
        <v>0</v>
      </c>
      <c r="R1645" s="657">
        <v>0</v>
      </c>
      <c r="S1645" s="657">
        <v>38768</v>
      </c>
      <c r="T1645" s="657">
        <v>38768</v>
      </c>
      <c r="U1645" s="657">
        <v>4384</v>
      </c>
      <c r="V1645" s="655">
        <v>2021</v>
      </c>
      <c r="W1645" s="659"/>
      <c r="X1645" s="660">
        <f t="shared" si="77"/>
        <v>8.8430656934306562</v>
      </c>
      <c r="Y1645" s="661" t="str">
        <f t="shared" si="75"/>
        <v/>
      </c>
      <c r="Z1645" s="661" t="str">
        <f t="shared" si="76"/>
        <v/>
      </c>
    </row>
    <row r="1646" spans="1:26" s="128" customFormat="1" ht="25">
      <c r="A1646" s="655">
        <v>61342</v>
      </c>
      <c r="B1646" s="656" t="s">
        <v>33</v>
      </c>
      <c r="C1646" s="655" t="s">
        <v>2793</v>
      </c>
      <c r="D1646" s="656" t="s">
        <v>2064</v>
      </c>
      <c r="E1646" s="656" t="s">
        <v>3372</v>
      </c>
      <c r="F1646" s="655">
        <v>61944</v>
      </c>
      <c r="G1646" s="656" t="s">
        <v>81</v>
      </c>
      <c r="H1646" s="656" t="s">
        <v>1183</v>
      </c>
      <c r="I1646" s="656" t="s">
        <v>58</v>
      </c>
      <c r="J1646" s="655">
        <v>22</v>
      </c>
      <c r="K1646" s="655">
        <v>2</v>
      </c>
      <c r="L1646" s="656" t="s">
        <v>52</v>
      </c>
      <c r="M1646" s="656" t="s">
        <v>448</v>
      </c>
      <c r="N1646" s="656" t="s">
        <v>449</v>
      </c>
      <c r="O1646" s="656" t="s">
        <v>449</v>
      </c>
      <c r="P1646" s="656" t="s">
        <v>1176</v>
      </c>
      <c r="Q1646" s="657">
        <v>0</v>
      </c>
      <c r="R1646" s="657">
        <v>0</v>
      </c>
      <c r="S1646" s="657">
        <v>163278</v>
      </c>
      <c r="T1646" s="657">
        <v>163278</v>
      </c>
      <c r="U1646" s="657">
        <v>18464</v>
      </c>
      <c r="V1646" s="655">
        <v>2021</v>
      </c>
      <c r="W1646" s="659"/>
      <c r="X1646" s="660">
        <f t="shared" si="77"/>
        <v>8.8430459272097046</v>
      </c>
      <c r="Y1646" s="661" t="str">
        <f t="shared" si="75"/>
        <v/>
      </c>
      <c r="Z1646" s="661" t="str">
        <f t="shared" si="76"/>
        <v/>
      </c>
    </row>
    <row r="1647" spans="1:26" s="128" customFormat="1">
      <c r="A1647" s="655">
        <v>61350</v>
      </c>
      <c r="B1647" s="656" t="s">
        <v>33</v>
      </c>
      <c r="C1647" s="655" t="s">
        <v>2793</v>
      </c>
      <c r="D1647" s="656" t="s">
        <v>2065</v>
      </c>
      <c r="E1647" s="656" t="s">
        <v>2809</v>
      </c>
      <c r="F1647" s="655">
        <v>63249</v>
      </c>
      <c r="G1647" s="656" t="s">
        <v>81</v>
      </c>
      <c r="H1647" s="656" t="s">
        <v>1183</v>
      </c>
      <c r="I1647" s="656" t="s">
        <v>58</v>
      </c>
      <c r="J1647" s="655">
        <v>22</v>
      </c>
      <c r="K1647" s="655">
        <v>2</v>
      </c>
      <c r="L1647" s="656" t="s">
        <v>52</v>
      </c>
      <c r="M1647" s="656" t="s">
        <v>448</v>
      </c>
      <c r="N1647" s="656" t="s">
        <v>449</v>
      </c>
      <c r="O1647" s="656" t="s">
        <v>449</v>
      </c>
      <c r="P1647" s="656" t="s">
        <v>1176</v>
      </c>
      <c r="Q1647" s="657">
        <v>0</v>
      </c>
      <c r="R1647" s="657">
        <v>0</v>
      </c>
      <c r="S1647" s="657">
        <v>30551</v>
      </c>
      <c r="T1647" s="657">
        <v>30551</v>
      </c>
      <c r="U1647" s="657">
        <v>3455</v>
      </c>
      <c r="V1647" s="655">
        <v>2021</v>
      </c>
      <c r="W1647" s="659"/>
      <c r="X1647" s="660">
        <f t="shared" si="77"/>
        <v>8.8425470332850935</v>
      </c>
      <c r="Y1647" s="661" t="str">
        <f t="shared" si="75"/>
        <v/>
      </c>
      <c r="Z1647" s="661" t="str">
        <f t="shared" si="76"/>
        <v/>
      </c>
    </row>
    <row r="1648" spans="1:26" s="128" customFormat="1" ht="25">
      <c r="A1648" s="655">
        <v>61367</v>
      </c>
      <c r="B1648" s="656" t="s">
        <v>33</v>
      </c>
      <c r="C1648" s="655" t="s">
        <v>2793</v>
      </c>
      <c r="D1648" s="656" t="s">
        <v>2208</v>
      </c>
      <c r="E1648" s="656" t="s">
        <v>1214</v>
      </c>
      <c r="F1648" s="655">
        <v>57319</v>
      </c>
      <c r="G1648" s="656" t="s">
        <v>81</v>
      </c>
      <c r="H1648" s="656" t="s">
        <v>1183</v>
      </c>
      <c r="I1648" s="656" t="s">
        <v>58</v>
      </c>
      <c r="J1648" s="655">
        <v>22</v>
      </c>
      <c r="K1648" s="655">
        <v>2</v>
      </c>
      <c r="L1648" s="656" t="s">
        <v>52</v>
      </c>
      <c r="M1648" s="656" t="s">
        <v>448</v>
      </c>
      <c r="N1648" s="656" t="s">
        <v>449</v>
      </c>
      <c r="O1648" s="656" t="s">
        <v>449</v>
      </c>
      <c r="P1648" s="656" t="s">
        <v>1176</v>
      </c>
      <c r="Q1648" s="657">
        <v>0</v>
      </c>
      <c r="R1648" s="657">
        <v>0</v>
      </c>
      <c r="S1648" s="657">
        <v>21030</v>
      </c>
      <c r="T1648" s="657">
        <v>21030</v>
      </c>
      <c r="U1648" s="657">
        <v>2378</v>
      </c>
      <c r="V1648" s="655">
        <v>2021</v>
      </c>
      <c r="W1648" s="659"/>
      <c r="X1648" s="660">
        <f t="shared" si="77"/>
        <v>8.8435660218671153</v>
      </c>
      <c r="Y1648" s="661" t="str">
        <f t="shared" si="75"/>
        <v/>
      </c>
      <c r="Z1648" s="661" t="str">
        <f t="shared" si="76"/>
        <v/>
      </c>
    </row>
    <row r="1649" spans="1:26" s="128" customFormat="1">
      <c r="A1649" s="655">
        <v>61371</v>
      </c>
      <c r="B1649" s="656" t="s">
        <v>33</v>
      </c>
      <c r="C1649" s="655" t="s">
        <v>2793</v>
      </c>
      <c r="D1649" s="656" t="s">
        <v>2066</v>
      </c>
      <c r="E1649" s="656" t="s">
        <v>2067</v>
      </c>
      <c r="F1649" s="655">
        <v>61009</v>
      </c>
      <c r="G1649" s="656" t="s">
        <v>81</v>
      </c>
      <c r="H1649" s="656" t="s">
        <v>1183</v>
      </c>
      <c r="I1649" s="656" t="s">
        <v>58</v>
      </c>
      <c r="J1649" s="655">
        <v>22</v>
      </c>
      <c r="K1649" s="655">
        <v>2</v>
      </c>
      <c r="L1649" s="656" t="s">
        <v>52</v>
      </c>
      <c r="M1649" s="656" t="s">
        <v>448</v>
      </c>
      <c r="N1649" s="656" t="s">
        <v>449</v>
      </c>
      <c r="O1649" s="656" t="s">
        <v>449</v>
      </c>
      <c r="P1649" s="656" t="s">
        <v>1176</v>
      </c>
      <c r="Q1649" s="657">
        <v>0</v>
      </c>
      <c r="R1649" s="657">
        <v>0</v>
      </c>
      <c r="S1649" s="657">
        <v>29183</v>
      </c>
      <c r="T1649" s="657">
        <v>29183</v>
      </c>
      <c r="U1649" s="657">
        <v>3300</v>
      </c>
      <c r="V1649" s="655">
        <v>2021</v>
      </c>
      <c r="W1649" s="659"/>
      <c r="X1649" s="660">
        <f t="shared" si="77"/>
        <v>8.8433333333333337</v>
      </c>
      <c r="Y1649" s="661" t="str">
        <f t="shared" si="75"/>
        <v/>
      </c>
      <c r="Z1649" s="661" t="str">
        <f t="shared" si="76"/>
        <v/>
      </c>
    </row>
    <row r="1650" spans="1:26" s="128" customFormat="1">
      <c r="A1650" s="655">
        <v>61373</v>
      </c>
      <c r="B1650" s="656" t="s">
        <v>33</v>
      </c>
      <c r="C1650" s="655" t="s">
        <v>2793</v>
      </c>
      <c r="D1650" s="656" t="s">
        <v>2068</v>
      </c>
      <c r="E1650" s="656" t="s">
        <v>2069</v>
      </c>
      <c r="F1650" s="655">
        <v>61011</v>
      </c>
      <c r="G1650" s="656" t="s">
        <v>81</v>
      </c>
      <c r="H1650" s="656" t="s">
        <v>1183</v>
      </c>
      <c r="I1650" s="656" t="s">
        <v>58</v>
      </c>
      <c r="J1650" s="655">
        <v>22</v>
      </c>
      <c r="K1650" s="655">
        <v>2</v>
      </c>
      <c r="L1650" s="656" t="s">
        <v>52</v>
      </c>
      <c r="M1650" s="656" t="s">
        <v>448</v>
      </c>
      <c r="N1650" s="656" t="s">
        <v>449</v>
      </c>
      <c r="O1650" s="656" t="s">
        <v>449</v>
      </c>
      <c r="P1650" s="656" t="s">
        <v>1176</v>
      </c>
      <c r="Q1650" s="657">
        <v>0</v>
      </c>
      <c r="R1650" s="657">
        <v>0</v>
      </c>
      <c r="S1650" s="657">
        <v>42545</v>
      </c>
      <c r="T1650" s="657">
        <v>42545</v>
      </c>
      <c r="U1650" s="657">
        <v>4811</v>
      </c>
      <c r="V1650" s="655">
        <v>2021</v>
      </c>
      <c r="W1650" s="659"/>
      <c r="X1650" s="660">
        <f t="shared" si="77"/>
        <v>8.8432758262315527</v>
      </c>
      <c r="Y1650" s="661" t="str">
        <f t="shared" si="75"/>
        <v/>
      </c>
      <c r="Z1650" s="661" t="str">
        <f t="shared" si="76"/>
        <v/>
      </c>
    </row>
    <row r="1651" spans="1:26" s="128" customFormat="1" hidden="1">
      <c r="A1651" s="655">
        <v>61376</v>
      </c>
      <c r="B1651" s="656" t="s">
        <v>33</v>
      </c>
      <c r="C1651" s="655" t="s">
        <v>2793</v>
      </c>
      <c r="D1651" s="656" t="s">
        <v>2209</v>
      </c>
      <c r="E1651" s="656" t="s">
        <v>2210</v>
      </c>
      <c r="F1651" s="655">
        <v>61012</v>
      </c>
      <c r="G1651" s="656" t="s">
        <v>57</v>
      </c>
      <c r="H1651" s="656" t="s">
        <v>1182</v>
      </c>
      <c r="I1651" s="656" t="s">
        <v>58</v>
      </c>
      <c r="J1651" s="655">
        <v>22</v>
      </c>
      <c r="K1651" s="655">
        <v>2</v>
      </c>
      <c r="L1651" s="656" t="s">
        <v>52</v>
      </c>
      <c r="M1651" s="656" t="s">
        <v>448</v>
      </c>
      <c r="N1651" s="656" t="s">
        <v>449</v>
      </c>
      <c r="O1651" s="656" t="s">
        <v>449</v>
      </c>
      <c r="P1651" s="656" t="s">
        <v>1176</v>
      </c>
      <c r="Q1651" s="657">
        <v>0</v>
      </c>
      <c r="R1651" s="657">
        <v>0</v>
      </c>
      <c r="S1651" s="657">
        <v>26211</v>
      </c>
      <c r="T1651" s="657">
        <v>26211</v>
      </c>
      <c r="U1651" s="657">
        <v>2964</v>
      </c>
      <c r="V1651" s="655">
        <v>2021</v>
      </c>
      <c r="W1651" s="659"/>
      <c r="X1651" s="660">
        <f t="shared" si="77"/>
        <v>8.8431174089068829</v>
      </c>
      <c r="Y1651" s="661" t="str">
        <f t="shared" si="75"/>
        <v/>
      </c>
      <c r="Z1651" s="661" t="str">
        <f t="shared" si="76"/>
        <v/>
      </c>
    </row>
    <row r="1652" spans="1:26" s="128" customFormat="1" ht="25" hidden="1">
      <c r="A1652" s="655">
        <v>61378</v>
      </c>
      <c r="B1652" s="656" t="s">
        <v>33</v>
      </c>
      <c r="C1652" s="655" t="s">
        <v>2793</v>
      </c>
      <c r="D1652" s="656" t="s">
        <v>2211</v>
      </c>
      <c r="E1652" s="656" t="s">
        <v>2211</v>
      </c>
      <c r="F1652" s="655">
        <v>61013</v>
      </c>
      <c r="G1652" s="656" t="s">
        <v>57</v>
      </c>
      <c r="H1652" s="656" t="s">
        <v>1182</v>
      </c>
      <c r="I1652" s="656" t="s">
        <v>58</v>
      </c>
      <c r="J1652" s="655">
        <v>622</v>
      </c>
      <c r="K1652" s="655">
        <v>4</v>
      </c>
      <c r="L1652" s="656" t="s">
        <v>412</v>
      </c>
      <c r="M1652" s="656" t="s">
        <v>51</v>
      </c>
      <c r="N1652" s="656" t="s">
        <v>46</v>
      </c>
      <c r="O1652" s="656" t="s">
        <v>46</v>
      </c>
      <c r="P1652" s="656" t="s">
        <v>47</v>
      </c>
      <c r="Q1652" s="657">
        <v>40</v>
      </c>
      <c r="R1652" s="657">
        <v>40</v>
      </c>
      <c r="S1652" s="657">
        <v>233</v>
      </c>
      <c r="T1652" s="657">
        <v>233</v>
      </c>
      <c r="U1652" s="657">
        <v>0</v>
      </c>
      <c r="V1652" s="655">
        <v>2021</v>
      </c>
      <c r="W1652" s="659"/>
      <c r="X1652" s="660" t="str">
        <f t="shared" si="77"/>
        <v/>
      </c>
      <c r="Y1652" s="661" t="str">
        <f t="shared" si="75"/>
        <v/>
      </c>
      <c r="Z1652" s="661" t="str">
        <f t="shared" si="76"/>
        <v/>
      </c>
    </row>
    <row r="1653" spans="1:26" s="128" customFormat="1" ht="25" hidden="1">
      <c r="A1653" s="655">
        <v>61378</v>
      </c>
      <c r="B1653" s="656" t="s">
        <v>33</v>
      </c>
      <c r="C1653" s="655" t="s">
        <v>2793</v>
      </c>
      <c r="D1653" s="656" t="s">
        <v>2211</v>
      </c>
      <c r="E1653" s="656" t="s">
        <v>2211</v>
      </c>
      <c r="F1653" s="655">
        <v>61013</v>
      </c>
      <c r="G1653" s="656" t="s">
        <v>57</v>
      </c>
      <c r="H1653" s="656" t="s">
        <v>1182</v>
      </c>
      <c r="I1653" s="656" t="s">
        <v>58</v>
      </c>
      <c r="J1653" s="655">
        <v>622</v>
      </c>
      <c r="K1653" s="655">
        <v>4</v>
      </c>
      <c r="L1653" s="656" t="s">
        <v>412</v>
      </c>
      <c r="M1653" s="656" t="s">
        <v>51</v>
      </c>
      <c r="N1653" s="656" t="s">
        <v>39</v>
      </c>
      <c r="O1653" s="656" t="s">
        <v>39</v>
      </c>
      <c r="P1653" s="656" t="s">
        <v>1037</v>
      </c>
      <c r="Q1653" s="657">
        <v>0</v>
      </c>
      <c r="R1653" s="657">
        <v>0</v>
      </c>
      <c r="S1653" s="657">
        <v>0</v>
      </c>
      <c r="T1653" s="657">
        <v>0</v>
      </c>
      <c r="U1653" s="657">
        <v>0</v>
      </c>
      <c r="V1653" s="655">
        <v>2021</v>
      </c>
      <c r="W1653" s="659"/>
      <c r="X1653" s="660" t="str">
        <f t="shared" si="77"/>
        <v/>
      </c>
      <c r="Y1653" s="661" t="str">
        <f t="shared" si="75"/>
        <v/>
      </c>
      <c r="Z1653" s="661" t="str">
        <f t="shared" si="76"/>
        <v/>
      </c>
    </row>
    <row r="1654" spans="1:26" s="128" customFormat="1" hidden="1">
      <c r="A1654" s="655">
        <v>61389</v>
      </c>
      <c r="B1654" s="656" t="s">
        <v>33</v>
      </c>
      <c r="C1654" s="655" t="s">
        <v>2793</v>
      </c>
      <c r="D1654" s="656" t="s">
        <v>2212</v>
      </c>
      <c r="E1654" s="656" t="s">
        <v>3139</v>
      </c>
      <c r="F1654" s="655">
        <v>60571</v>
      </c>
      <c r="G1654" s="656" t="s">
        <v>57</v>
      </c>
      <c r="H1654" s="656" t="s">
        <v>1182</v>
      </c>
      <c r="I1654" s="656" t="s">
        <v>58</v>
      </c>
      <c r="J1654" s="655">
        <v>22</v>
      </c>
      <c r="K1654" s="655">
        <v>2</v>
      </c>
      <c r="L1654" s="656" t="s">
        <v>52</v>
      </c>
      <c r="M1654" s="656" t="s">
        <v>448</v>
      </c>
      <c r="N1654" s="656" t="s">
        <v>449</v>
      </c>
      <c r="O1654" s="656" t="s">
        <v>449</v>
      </c>
      <c r="P1654" s="656" t="s">
        <v>1176</v>
      </c>
      <c r="Q1654" s="657">
        <v>0</v>
      </c>
      <c r="R1654" s="657">
        <v>0</v>
      </c>
      <c r="S1654" s="657">
        <v>16802</v>
      </c>
      <c r="T1654" s="657">
        <v>16802</v>
      </c>
      <c r="U1654" s="657">
        <v>1900</v>
      </c>
      <c r="V1654" s="655">
        <v>2021</v>
      </c>
      <c r="W1654" s="659"/>
      <c r="X1654" s="660">
        <f t="shared" si="77"/>
        <v>8.8431578947368426</v>
      </c>
      <c r="Y1654" s="661" t="str">
        <f t="shared" si="75"/>
        <v/>
      </c>
      <c r="Z1654" s="661" t="str">
        <f t="shared" si="76"/>
        <v/>
      </c>
    </row>
    <row r="1655" spans="1:26" s="128" customFormat="1" hidden="1">
      <c r="A1655" s="655">
        <v>61398</v>
      </c>
      <c r="B1655" s="656" t="s">
        <v>33</v>
      </c>
      <c r="C1655" s="655" t="s">
        <v>2793</v>
      </c>
      <c r="D1655" s="656" t="s">
        <v>2070</v>
      </c>
      <c r="E1655" s="656" t="s">
        <v>2071</v>
      </c>
      <c r="F1655" s="655">
        <v>61025</v>
      </c>
      <c r="G1655" s="656" t="s">
        <v>41</v>
      </c>
      <c r="H1655" s="656" t="s">
        <v>1183</v>
      </c>
      <c r="I1655" s="656" t="s">
        <v>58</v>
      </c>
      <c r="J1655" s="655">
        <v>22</v>
      </c>
      <c r="K1655" s="655">
        <v>2</v>
      </c>
      <c r="L1655" s="656" t="s">
        <v>52</v>
      </c>
      <c r="M1655" s="656" t="s">
        <v>448</v>
      </c>
      <c r="N1655" s="656" t="s">
        <v>449</v>
      </c>
      <c r="O1655" s="656" t="s">
        <v>449</v>
      </c>
      <c r="P1655" s="656" t="s">
        <v>1176</v>
      </c>
      <c r="Q1655" s="657">
        <v>0</v>
      </c>
      <c r="R1655" s="657">
        <v>0</v>
      </c>
      <c r="S1655" s="657">
        <v>29183</v>
      </c>
      <c r="T1655" s="657">
        <v>29183</v>
      </c>
      <c r="U1655" s="657">
        <v>3300</v>
      </c>
      <c r="V1655" s="655">
        <v>2021</v>
      </c>
      <c r="W1655" s="659"/>
      <c r="X1655" s="660">
        <f t="shared" si="77"/>
        <v>8.8433333333333337</v>
      </c>
      <c r="Y1655" s="661" t="str">
        <f t="shared" si="75"/>
        <v/>
      </c>
      <c r="Z1655" s="661" t="str">
        <f t="shared" si="76"/>
        <v/>
      </c>
    </row>
    <row r="1656" spans="1:26" s="128" customFormat="1" ht="25">
      <c r="A1656" s="655">
        <v>61399</v>
      </c>
      <c r="B1656" s="656" t="s">
        <v>33</v>
      </c>
      <c r="C1656" s="655" t="s">
        <v>2793</v>
      </c>
      <c r="D1656" s="656" t="s">
        <v>2213</v>
      </c>
      <c r="E1656" s="656" t="s">
        <v>2214</v>
      </c>
      <c r="F1656" s="655">
        <v>61028</v>
      </c>
      <c r="G1656" s="656" t="s">
        <v>81</v>
      </c>
      <c r="H1656" s="656" t="s">
        <v>1183</v>
      </c>
      <c r="I1656" s="656" t="s">
        <v>58</v>
      </c>
      <c r="J1656" s="655">
        <v>22</v>
      </c>
      <c r="K1656" s="655">
        <v>2</v>
      </c>
      <c r="L1656" s="656" t="s">
        <v>52</v>
      </c>
      <c r="M1656" s="656" t="s">
        <v>448</v>
      </c>
      <c r="N1656" s="656" t="s">
        <v>449</v>
      </c>
      <c r="O1656" s="656" t="s">
        <v>449</v>
      </c>
      <c r="P1656" s="656" t="s">
        <v>1176</v>
      </c>
      <c r="Q1656" s="657">
        <v>0</v>
      </c>
      <c r="R1656" s="657">
        <v>0</v>
      </c>
      <c r="S1656" s="657">
        <v>28137</v>
      </c>
      <c r="T1656" s="657">
        <v>28137</v>
      </c>
      <c r="U1656" s="657">
        <v>3182</v>
      </c>
      <c r="V1656" s="655">
        <v>2021</v>
      </c>
      <c r="W1656" s="659"/>
      <c r="X1656" s="660">
        <f t="shared" si="77"/>
        <v>8.8425518541797619</v>
      </c>
      <c r="Y1656" s="661" t="str">
        <f t="shared" si="75"/>
        <v/>
      </c>
      <c r="Z1656" s="661" t="str">
        <f t="shared" si="76"/>
        <v/>
      </c>
    </row>
    <row r="1657" spans="1:26" s="128" customFormat="1" hidden="1">
      <c r="A1657" s="655">
        <v>61408</v>
      </c>
      <c r="B1657" s="656" t="s">
        <v>33</v>
      </c>
      <c r="C1657" s="655" t="s">
        <v>2793</v>
      </c>
      <c r="D1657" s="656" t="s">
        <v>2072</v>
      </c>
      <c r="E1657" s="656" t="s">
        <v>2073</v>
      </c>
      <c r="F1657" s="655">
        <v>61043</v>
      </c>
      <c r="G1657" s="656" t="s">
        <v>41</v>
      </c>
      <c r="H1657" s="656" t="s">
        <v>1183</v>
      </c>
      <c r="I1657" s="656" t="s">
        <v>58</v>
      </c>
      <c r="J1657" s="655">
        <v>22</v>
      </c>
      <c r="K1657" s="655">
        <v>2</v>
      </c>
      <c r="L1657" s="656" t="s">
        <v>52</v>
      </c>
      <c r="M1657" s="656" t="s">
        <v>448</v>
      </c>
      <c r="N1657" s="656" t="s">
        <v>449</v>
      </c>
      <c r="O1657" s="656" t="s">
        <v>449</v>
      </c>
      <c r="P1657" s="656" t="s">
        <v>1176</v>
      </c>
      <c r="Q1657" s="657">
        <v>0</v>
      </c>
      <c r="R1657" s="657">
        <v>0</v>
      </c>
      <c r="S1657" s="657">
        <v>14795</v>
      </c>
      <c r="T1657" s="657">
        <v>14795</v>
      </c>
      <c r="U1657" s="657">
        <v>1673</v>
      </c>
      <c r="V1657" s="655">
        <v>2021</v>
      </c>
      <c r="W1657" s="659"/>
      <c r="X1657" s="660">
        <f t="shared" si="77"/>
        <v>8.8433950986252245</v>
      </c>
      <c r="Y1657" s="661" t="str">
        <f t="shared" si="75"/>
        <v/>
      </c>
      <c r="Z1657" s="661" t="str">
        <f t="shared" si="76"/>
        <v/>
      </c>
    </row>
    <row r="1658" spans="1:26" s="128" customFormat="1" ht="25" hidden="1">
      <c r="A1658" s="655">
        <v>61413</v>
      </c>
      <c r="B1658" s="656" t="s">
        <v>33</v>
      </c>
      <c r="C1658" s="655" t="s">
        <v>2793</v>
      </c>
      <c r="D1658" s="656" t="s">
        <v>2074</v>
      </c>
      <c r="E1658" s="656" t="s">
        <v>2075</v>
      </c>
      <c r="F1658" s="655">
        <v>61049</v>
      </c>
      <c r="G1658" s="656" t="s">
        <v>57</v>
      </c>
      <c r="H1658" s="656" t="s">
        <v>1182</v>
      </c>
      <c r="I1658" s="656" t="s">
        <v>58</v>
      </c>
      <c r="J1658" s="655">
        <v>622</v>
      </c>
      <c r="K1658" s="655">
        <v>4</v>
      </c>
      <c r="L1658" s="656" t="s">
        <v>412</v>
      </c>
      <c r="M1658" s="656" t="s">
        <v>51</v>
      </c>
      <c r="N1658" s="656" t="s">
        <v>46</v>
      </c>
      <c r="O1658" s="656" t="s">
        <v>46</v>
      </c>
      <c r="P1658" s="656" t="s">
        <v>47</v>
      </c>
      <c r="Q1658" s="657">
        <v>458</v>
      </c>
      <c r="R1658" s="657">
        <v>458</v>
      </c>
      <c r="S1658" s="657">
        <v>2521</v>
      </c>
      <c r="T1658" s="657">
        <v>2521</v>
      </c>
      <c r="U1658" s="657">
        <v>298</v>
      </c>
      <c r="V1658" s="655">
        <v>2021</v>
      </c>
      <c r="W1658" s="659"/>
      <c r="X1658" s="660" t="str">
        <f t="shared" si="77"/>
        <v/>
      </c>
      <c r="Y1658" s="661" t="str">
        <f t="shared" si="75"/>
        <v/>
      </c>
      <c r="Z1658" s="661" t="str">
        <f t="shared" si="76"/>
        <v/>
      </c>
    </row>
    <row r="1659" spans="1:26" s="128" customFormat="1" ht="25" hidden="1">
      <c r="A1659" s="655">
        <v>61414</v>
      </c>
      <c r="B1659" s="656" t="s">
        <v>33</v>
      </c>
      <c r="C1659" s="655" t="s">
        <v>2793</v>
      </c>
      <c r="D1659" s="656" t="s">
        <v>2076</v>
      </c>
      <c r="E1659" s="656" t="s">
        <v>2077</v>
      </c>
      <c r="F1659" s="655">
        <v>61050</v>
      </c>
      <c r="G1659" s="656" t="s">
        <v>57</v>
      </c>
      <c r="H1659" s="656" t="s">
        <v>1182</v>
      </c>
      <c r="I1659" s="656" t="s">
        <v>58</v>
      </c>
      <c r="J1659" s="655">
        <v>323</v>
      </c>
      <c r="K1659" s="655">
        <v>6</v>
      </c>
      <c r="L1659" s="656" t="s">
        <v>410</v>
      </c>
      <c r="M1659" s="656" t="s">
        <v>51</v>
      </c>
      <c r="N1659" s="656" t="s">
        <v>46</v>
      </c>
      <c r="O1659" s="656" t="s">
        <v>46</v>
      </c>
      <c r="P1659" s="656" t="s">
        <v>47</v>
      </c>
      <c r="Q1659" s="657">
        <v>429</v>
      </c>
      <c r="R1659" s="657">
        <v>429</v>
      </c>
      <c r="S1659" s="657">
        <v>2362</v>
      </c>
      <c r="T1659" s="657">
        <v>2362</v>
      </c>
      <c r="U1659" s="657">
        <v>202</v>
      </c>
      <c r="V1659" s="655">
        <v>2021</v>
      </c>
      <c r="W1659" s="659"/>
      <c r="X1659" s="660" t="str">
        <f t="shared" si="77"/>
        <v/>
      </c>
      <c r="Y1659" s="661" t="str">
        <f t="shared" si="75"/>
        <v/>
      </c>
      <c r="Z1659" s="661" t="str">
        <f t="shared" si="76"/>
        <v/>
      </c>
    </row>
    <row r="1660" spans="1:26" s="128" customFormat="1" ht="25">
      <c r="A1660" s="655">
        <v>61415</v>
      </c>
      <c r="B1660" s="656" t="s">
        <v>33</v>
      </c>
      <c r="C1660" s="655" t="s">
        <v>2793</v>
      </c>
      <c r="D1660" s="656" t="s">
        <v>2078</v>
      </c>
      <c r="E1660" s="656" t="s">
        <v>2215</v>
      </c>
      <c r="F1660" s="655">
        <v>20326</v>
      </c>
      <c r="G1660" s="656" t="s">
        <v>81</v>
      </c>
      <c r="H1660" s="656" t="s">
        <v>1183</v>
      </c>
      <c r="I1660" s="656" t="s">
        <v>58</v>
      </c>
      <c r="J1660" s="655">
        <v>22</v>
      </c>
      <c r="K1660" s="655">
        <v>1</v>
      </c>
      <c r="L1660" s="656" t="s">
        <v>34</v>
      </c>
      <c r="M1660" s="656" t="s">
        <v>448</v>
      </c>
      <c r="N1660" s="656" t="s">
        <v>449</v>
      </c>
      <c r="O1660" s="656" t="s">
        <v>449</v>
      </c>
      <c r="P1660" s="656" t="s">
        <v>1176</v>
      </c>
      <c r="Q1660" s="657">
        <v>0</v>
      </c>
      <c r="R1660" s="657">
        <v>0</v>
      </c>
      <c r="S1660" s="657">
        <v>21223</v>
      </c>
      <c r="T1660" s="657">
        <v>21223</v>
      </c>
      <c r="U1660" s="657">
        <v>2400</v>
      </c>
      <c r="V1660" s="655">
        <v>2021</v>
      </c>
      <c r="W1660" s="659"/>
      <c r="X1660" s="660">
        <f t="shared" si="77"/>
        <v>8.8429166666666674</v>
      </c>
      <c r="Y1660" s="661" t="str">
        <f t="shared" si="75"/>
        <v/>
      </c>
      <c r="Z1660" s="661" t="str">
        <f t="shared" si="76"/>
        <v/>
      </c>
    </row>
    <row r="1661" spans="1:26" s="128" customFormat="1" ht="25" hidden="1">
      <c r="A1661" s="655">
        <v>61416</v>
      </c>
      <c r="B1661" s="656" t="s">
        <v>33</v>
      </c>
      <c r="C1661" s="655" t="s">
        <v>2793</v>
      </c>
      <c r="D1661" s="656" t="s">
        <v>2079</v>
      </c>
      <c r="E1661" s="656" t="s">
        <v>2079</v>
      </c>
      <c r="F1661" s="655">
        <v>61053</v>
      </c>
      <c r="G1661" s="656" t="s">
        <v>57</v>
      </c>
      <c r="H1661" s="656" t="s">
        <v>1182</v>
      </c>
      <c r="I1661" s="656" t="s">
        <v>58</v>
      </c>
      <c r="J1661" s="655">
        <v>622</v>
      </c>
      <c r="K1661" s="655">
        <v>4</v>
      </c>
      <c r="L1661" s="656" t="s">
        <v>412</v>
      </c>
      <c r="M1661" s="656" t="s">
        <v>51</v>
      </c>
      <c r="N1661" s="656" t="s">
        <v>46</v>
      </c>
      <c r="O1661" s="656" t="s">
        <v>46</v>
      </c>
      <c r="P1661" s="656" t="s">
        <v>47</v>
      </c>
      <c r="Q1661" s="657">
        <v>430</v>
      </c>
      <c r="R1661" s="657">
        <v>430</v>
      </c>
      <c r="S1661" s="657">
        <v>2368</v>
      </c>
      <c r="T1661" s="657">
        <v>2368</v>
      </c>
      <c r="U1661" s="657">
        <v>307</v>
      </c>
      <c r="V1661" s="655">
        <v>2021</v>
      </c>
      <c r="W1661" s="659"/>
      <c r="X1661" s="660" t="str">
        <f t="shared" si="77"/>
        <v/>
      </c>
      <c r="Y1661" s="661" t="str">
        <f t="shared" si="75"/>
        <v/>
      </c>
      <c r="Z1661" s="661" t="str">
        <f t="shared" si="76"/>
        <v/>
      </c>
    </row>
    <row r="1662" spans="1:26" s="128" customFormat="1" ht="25">
      <c r="A1662" s="655">
        <v>61429</v>
      </c>
      <c r="B1662" s="656" t="s">
        <v>33</v>
      </c>
      <c r="C1662" s="655" t="s">
        <v>2793</v>
      </c>
      <c r="D1662" s="656" t="s">
        <v>2359</v>
      </c>
      <c r="E1662" s="656" t="s">
        <v>1989</v>
      </c>
      <c r="F1662" s="655">
        <v>60281</v>
      </c>
      <c r="G1662" s="656" t="s">
        <v>81</v>
      </c>
      <c r="H1662" s="656" t="s">
        <v>1183</v>
      </c>
      <c r="I1662" s="656" t="s">
        <v>58</v>
      </c>
      <c r="J1662" s="655">
        <v>22</v>
      </c>
      <c r="K1662" s="655">
        <v>2</v>
      </c>
      <c r="L1662" s="656" t="s">
        <v>52</v>
      </c>
      <c r="M1662" s="656" t="s">
        <v>448</v>
      </c>
      <c r="N1662" s="656" t="s">
        <v>449</v>
      </c>
      <c r="O1662" s="656" t="s">
        <v>449</v>
      </c>
      <c r="P1662" s="656" t="s">
        <v>1176</v>
      </c>
      <c r="Q1662" s="657">
        <v>0</v>
      </c>
      <c r="R1662" s="657">
        <v>0</v>
      </c>
      <c r="S1662" s="657">
        <v>13274</v>
      </c>
      <c r="T1662" s="657">
        <v>13274</v>
      </c>
      <c r="U1662" s="657">
        <v>1501</v>
      </c>
      <c r="V1662" s="655">
        <v>2021</v>
      </c>
      <c r="W1662" s="659"/>
      <c r="X1662" s="660">
        <f t="shared" si="77"/>
        <v>8.8434377081945374</v>
      </c>
      <c r="Y1662" s="661" t="str">
        <f t="shared" si="75"/>
        <v/>
      </c>
      <c r="Z1662" s="661" t="str">
        <f t="shared" si="76"/>
        <v/>
      </c>
    </row>
    <row r="1663" spans="1:26" s="128" customFormat="1" hidden="1">
      <c r="A1663" s="655">
        <v>61460</v>
      </c>
      <c r="B1663" s="656" t="s">
        <v>33</v>
      </c>
      <c r="C1663" s="655" t="s">
        <v>2793</v>
      </c>
      <c r="D1663" s="656" t="s">
        <v>2216</v>
      </c>
      <c r="E1663" s="656" t="s">
        <v>2217</v>
      </c>
      <c r="F1663" s="655">
        <v>61077</v>
      </c>
      <c r="G1663" s="656" t="s">
        <v>90</v>
      </c>
      <c r="H1663" s="656" t="s">
        <v>1183</v>
      </c>
      <c r="I1663" s="656" t="s">
        <v>58</v>
      </c>
      <c r="J1663" s="655">
        <v>22</v>
      </c>
      <c r="K1663" s="655">
        <v>2</v>
      </c>
      <c r="L1663" s="656" t="s">
        <v>52</v>
      </c>
      <c r="M1663" s="656" t="s">
        <v>448</v>
      </c>
      <c r="N1663" s="656" t="s">
        <v>449</v>
      </c>
      <c r="O1663" s="656" t="s">
        <v>449</v>
      </c>
      <c r="P1663" s="656" t="s">
        <v>1176</v>
      </c>
      <c r="Q1663" s="657">
        <v>0</v>
      </c>
      <c r="R1663" s="657">
        <v>0</v>
      </c>
      <c r="S1663" s="657">
        <v>53632</v>
      </c>
      <c r="T1663" s="657">
        <v>53632</v>
      </c>
      <c r="U1663" s="657">
        <v>6065</v>
      </c>
      <c r="V1663" s="655">
        <v>2021</v>
      </c>
      <c r="W1663" s="659"/>
      <c r="X1663" s="660">
        <f t="shared" si="77"/>
        <v>8.8428689200329753</v>
      </c>
      <c r="Y1663" s="661" t="str">
        <f t="shared" si="75"/>
        <v/>
      </c>
      <c r="Z1663" s="661" t="str">
        <f t="shared" si="76"/>
        <v/>
      </c>
    </row>
    <row r="1664" spans="1:26" s="128" customFormat="1" ht="25" hidden="1">
      <c r="A1664" s="655">
        <v>61461</v>
      </c>
      <c r="B1664" s="656" t="s">
        <v>33</v>
      </c>
      <c r="C1664" s="655" t="s">
        <v>2793</v>
      </c>
      <c r="D1664" s="656" t="s">
        <v>2360</v>
      </c>
      <c r="E1664" s="656" t="s">
        <v>3139</v>
      </c>
      <c r="F1664" s="655">
        <v>60571</v>
      </c>
      <c r="G1664" s="656" t="s">
        <v>131</v>
      </c>
      <c r="H1664" s="656" t="s">
        <v>1183</v>
      </c>
      <c r="I1664" s="656" t="s">
        <v>58</v>
      </c>
      <c r="J1664" s="655">
        <v>22</v>
      </c>
      <c r="K1664" s="655">
        <v>2</v>
      </c>
      <c r="L1664" s="656" t="s">
        <v>52</v>
      </c>
      <c r="M1664" s="656" t="s">
        <v>448</v>
      </c>
      <c r="N1664" s="656" t="s">
        <v>449</v>
      </c>
      <c r="O1664" s="656" t="s">
        <v>449</v>
      </c>
      <c r="P1664" s="656" t="s">
        <v>1176</v>
      </c>
      <c r="Q1664" s="657">
        <v>0</v>
      </c>
      <c r="R1664" s="657">
        <v>0</v>
      </c>
      <c r="S1664" s="657">
        <v>9506</v>
      </c>
      <c r="T1664" s="657">
        <v>9506</v>
      </c>
      <c r="U1664" s="657">
        <v>1075</v>
      </c>
      <c r="V1664" s="655">
        <v>2021</v>
      </c>
      <c r="W1664" s="659"/>
      <c r="X1664" s="660">
        <f t="shared" si="77"/>
        <v>8.8427906976744186</v>
      </c>
      <c r="Y1664" s="661" t="str">
        <f t="shared" si="75"/>
        <v/>
      </c>
      <c r="Z1664" s="661" t="str">
        <f t="shared" si="76"/>
        <v/>
      </c>
    </row>
    <row r="1665" spans="1:26" s="128" customFormat="1" hidden="1">
      <c r="A1665" s="655">
        <v>61469</v>
      </c>
      <c r="B1665" s="656" t="s">
        <v>33</v>
      </c>
      <c r="C1665" s="655" t="s">
        <v>2793</v>
      </c>
      <c r="D1665" s="656" t="s">
        <v>2361</v>
      </c>
      <c r="E1665" s="656" t="s">
        <v>2210</v>
      </c>
      <c r="F1665" s="655">
        <v>61012</v>
      </c>
      <c r="G1665" s="656" t="s">
        <v>57</v>
      </c>
      <c r="H1665" s="656" t="s">
        <v>1182</v>
      </c>
      <c r="I1665" s="656" t="s">
        <v>58</v>
      </c>
      <c r="J1665" s="655">
        <v>22</v>
      </c>
      <c r="K1665" s="655">
        <v>2</v>
      </c>
      <c r="L1665" s="656" t="s">
        <v>52</v>
      </c>
      <c r="M1665" s="656" t="s">
        <v>448</v>
      </c>
      <c r="N1665" s="656" t="s">
        <v>449</v>
      </c>
      <c r="O1665" s="656" t="s">
        <v>449</v>
      </c>
      <c r="P1665" s="656" t="s">
        <v>1176</v>
      </c>
      <c r="Q1665" s="657">
        <v>0</v>
      </c>
      <c r="R1665" s="657">
        <v>0</v>
      </c>
      <c r="S1665" s="657">
        <v>22655</v>
      </c>
      <c r="T1665" s="657">
        <v>22655</v>
      </c>
      <c r="U1665" s="657">
        <v>2562</v>
      </c>
      <c r="V1665" s="655">
        <v>2021</v>
      </c>
      <c r="W1665" s="659"/>
      <c r="X1665" s="660">
        <f t="shared" si="77"/>
        <v>8.8427010148321621</v>
      </c>
      <c r="Y1665" s="661" t="str">
        <f t="shared" si="75"/>
        <v/>
      </c>
      <c r="Z1665" s="661" t="str">
        <f t="shared" si="76"/>
        <v/>
      </c>
    </row>
    <row r="1666" spans="1:26" s="128" customFormat="1" hidden="1">
      <c r="A1666" s="655">
        <v>61470</v>
      </c>
      <c r="B1666" s="656" t="s">
        <v>33</v>
      </c>
      <c r="C1666" s="655" t="s">
        <v>2793</v>
      </c>
      <c r="D1666" s="656" t="s">
        <v>2362</v>
      </c>
      <c r="E1666" s="656" t="s">
        <v>2210</v>
      </c>
      <c r="F1666" s="655">
        <v>61012</v>
      </c>
      <c r="G1666" s="656" t="s">
        <v>57</v>
      </c>
      <c r="H1666" s="656" t="s">
        <v>1182</v>
      </c>
      <c r="I1666" s="656" t="s">
        <v>58</v>
      </c>
      <c r="J1666" s="655">
        <v>22</v>
      </c>
      <c r="K1666" s="655">
        <v>2</v>
      </c>
      <c r="L1666" s="656" t="s">
        <v>52</v>
      </c>
      <c r="M1666" s="656" t="s">
        <v>448</v>
      </c>
      <c r="N1666" s="656" t="s">
        <v>449</v>
      </c>
      <c r="O1666" s="656" t="s">
        <v>449</v>
      </c>
      <c r="P1666" s="656" t="s">
        <v>1176</v>
      </c>
      <c r="Q1666" s="657">
        <v>0</v>
      </c>
      <c r="R1666" s="657">
        <v>0</v>
      </c>
      <c r="S1666" s="657">
        <v>27890</v>
      </c>
      <c r="T1666" s="657">
        <v>27890</v>
      </c>
      <c r="U1666" s="657">
        <v>3154</v>
      </c>
      <c r="V1666" s="655">
        <v>2021</v>
      </c>
      <c r="W1666" s="659"/>
      <c r="X1666" s="660">
        <f t="shared" si="77"/>
        <v>8.8427393785668986</v>
      </c>
      <c r="Y1666" s="661" t="str">
        <f t="shared" si="75"/>
        <v/>
      </c>
      <c r="Z1666" s="661" t="str">
        <f t="shared" si="76"/>
        <v/>
      </c>
    </row>
    <row r="1667" spans="1:26" s="128" customFormat="1" hidden="1">
      <c r="A1667" s="655">
        <v>61471</v>
      </c>
      <c r="B1667" s="656" t="s">
        <v>33</v>
      </c>
      <c r="C1667" s="655" t="s">
        <v>2793</v>
      </c>
      <c r="D1667" s="656" t="s">
        <v>2363</v>
      </c>
      <c r="E1667" s="656" t="s">
        <v>2210</v>
      </c>
      <c r="F1667" s="655">
        <v>61012</v>
      </c>
      <c r="G1667" s="656" t="s">
        <v>57</v>
      </c>
      <c r="H1667" s="656" t="s">
        <v>1182</v>
      </c>
      <c r="I1667" s="656" t="s">
        <v>58</v>
      </c>
      <c r="J1667" s="655">
        <v>22</v>
      </c>
      <c r="K1667" s="655">
        <v>2</v>
      </c>
      <c r="L1667" s="656" t="s">
        <v>52</v>
      </c>
      <c r="M1667" s="656" t="s">
        <v>448</v>
      </c>
      <c r="N1667" s="656" t="s">
        <v>449</v>
      </c>
      <c r="O1667" s="656" t="s">
        <v>449</v>
      </c>
      <c r="P1667" s="656" t="s">
        <v>1176</v>
      </c>
      <c r="Q1667" s="657">
        <v>0</v>
      </c>
      <c r="R1667" s="657">
        <v>0</v>
      </c>
      <c r="S1667" s="657">
        <v>27634</v>
      </c>
      <c r="T1667" s="657">
        <v>27634</v>
      </c>
      <c r="U1667" s="657">
        <v>3125</v>
      </c>
      <c r="V1667" s="655">
        <v>2021</v>
      </c>
      <c r="W1667" s="659"/>
      <c r="X1667" s="660">
        <f t="shared" si="77"/>
        <v>8.8428799999999992</v>
      </c>
      <c r="Y1667" s="661" t="str">
        <f t="shared" si="75"/>
        <v/>
      </c>
      <c r="Z1667" s="661" t="str">
        <f t="shared" si="76"/>
        <v/>
      </c>
    </row>
    <row r="1668" spans="1:26" s="128" customFormat="1" hidden="1">
      <c r="A1668" s="655">
        <v>61487</v>
      </c>
      <c r="B1668" s="656" t="s">
        <v>33</v>
      </c>
      <c r="C1668" s="655" t="s">
        <v>2793</v>
      </c>
      <c r="D1668" s="656" t="s">
        <v>2218</v>
      </c>
      <c r="E1668" s="656" t="s">
        <v>2219</v>
      </c>
      <c r="F1668" s="655">
        <v>61093</v>
      </c>
      <c r="G1668" s="656" t="s">
        <v>57</v>
      </c>
      <c r="H1668" s="656" t="s">
        <v>1182</v>
      </c>
      <c r="I1668" s="656" t="s">
        <v>58</v>
      </c>
      <c r="J1668" s="655">
        <v>22</v>
      </c>
      <c r="K1668" s="655">
        <v>2</v>
      </c>
      <c r="L1668" s="656" t="s">
        <v>52</v>
      </c>
      <c r="M1668" s="656" t="s">
        <v>448</v>
      </c>
      <c r="N1668" s="656" t="s">
        <v>449</v>
      </c>
      <c r="O1668" s="656" t="s">
        <v>449</v>
      </c>
      <c r="P1668" s="656" t="s">
        <v>1176</v>
      </c>
      <c r="Q1668" s="657">
        <v>0</v>
      </c>
      <c r="R1668" s="657">
        <v>0</v>
      </c>
      <c r="S1668" s="657">
        <v>112836</v>
      </c>
      <c r="T1668" s="657">
        <v>112836</v>
      </c>
      <c r="U1668" s="657">
        <v>12760</v>
      </c>
      <c r="V1668" s="655">
        <v>2021</v>
      </c>
      <c r="W1668" s="659"/>
      <c r="X1668" s="660">
        <f t="shared" si="77"/>
        <v>8.8429467084639501</v>
      </c>
      <c r="Y1668" s="661" t="str">
        <f t="shared" si="75"/>
        <v/>
      </c>
      <c r="Z1668" s="661" t="str">
        <f t="shared" si="76"/>
        <v/>
      </c>
    </row>
    <row r="1669" spans="1:26" s="128" customFormat="1" ht="25" hidden="1">
      <c r="A1669" s="655">
        <v>61488</v>
      </c>
      <c r="B1669" s="656" t="s">
        <v>54</v>
      </c>
      <c r="C1669" s="655" t="s">
        <v>2793</v>
      </c>
      <c r="D1669" s="656" t="s">
        <v>2220</v>
      </c>
      <c r="E1669" s="656" t="s">
        <v>2220</v>
      </c>
      <c r="F1669" s="655">
        <v>61094</v>
      </c>
      <c r="G1669" s="656" t="s">
        <v>57</v>
      </c>
      <c r="H1669" s="656" t="s">
        <v>1182</v>
      </c>
      <c r="I1669" s="656" t="s">
        <v>58</v>
      </c>
      <c r="J1669" s="655">
        <v>622</v>
      </c>
      <c r="K1669" s="655">
        <v>5</v>
      </c>
      <c r="L1669" s="656" t="s">
        <v>413</v>
      </c>
      <c r="M1669" s="656" t="s">
        <v>50</v>
      </c>
      <c r="N1669" s="656" t="s">
        <v>39</v>
      </c>
      <c r="O1669" s="656" t="s">
        <v>39</v>
      </c>
      <c r="P1669" s="656" t="s">
        <v>1037</v>
      </c>
      <c r="Q1669" s="657">
        <v>939807</v>
      </c>
      <c r="R1669" s="657">
        <v>666357</v>
      </c>
      <c r="S1669" s="657">
        <v>968001</v>
      </c>
      <c r="T1669" s="657">
        <v>686347</v>
      </c>
      <c r="U1669" s="657">
        <v>57330</v>
      </c>
      <c r="V1669" s="655">
        <v>2021</v>
      </c>
      <c r="W1669" s="659"/>
      <c r="X1669" s="660" t="str">
        <f t="shared" si="77"/>
        <v/>
      </c>
      <c r="Y1669" s="661">
        <f t="shared" si="75"/>
        <v>6.494123093024192</v>
      </c>
      <c r="Z1669" s="661" t="str">
        <f t="shared" si="76"/>
        <v/>
      </c>
    </row>
    <row r="1670" spans="1:26" s="128" customFormat="1" ht="25" hidden="1">
      <c r="A1670" s="655">
        <v>61488</v>
      </c>
      <c r="B1670" s="656" t="s">
        <v>54</v>
      </c>
      <c r="C1670" s="655" t="s">
        <v>2793</v>
      </c>
      <c r="D1670" s="656" t="s">
        <v>2220</v>
      </c>
      <c r="E1670" s="656" t="s">
        <v>2220</v>
      </c>
      <c r="F1670" s="655">
        <v>61094</v>
      </c>
      <c r="G1670" s="656" t="s">
        <v>57</v>
      </c>
      <c r="H1670" s="656" t="s">
        <v>1182</v>
      </c>
      <c r="I1670" s="656" t="s">
        <v>58</v>
      </c>
      <c r="J1670" s="655">
        <v>622</v>
      </c>
      <c r="K1670" s="655">
        <v>5</v>
      </c>
      <c r="L1670" s="656" t="s">
        <v>413</v>
      </c>
      <c r="M1670" s="656" t="s">
        <v>51</v>
      </c>
      <c r="N1670" s="656" t="s">
        <v>46</v>
      </c>
      <c r="O1670" s="656" t="s">
        <v>46</v>
      </c>
      <c r="P1670" s="656" t="s">
        <v>47</v>
      </c>
      <c r="Q1670" s="657">
        <v>225</v>
      </c>
      <c r="R1670" s="657">
        <v>225</v>
      </c>
      <c r="S1670" s="657">
        <v>1241</v>
      </c>
      <c r="T1670" s="657">
        <v>1241</v>
      </c>
      <c r="U1670" s="657">
        <v>153</v>
      </c>
      <c r="V1670" s="655">
        <v>2021</v>
      </c>
      <c r="W1670" s="659"/>
      <c r="X1670" s="660" t="str">
        <f t="shared" si="77"/>
        <v/>
      </c>
      <c r="Y1670" s="661" t="str">
        <f t="shared" si="75"/>
        <v/>
      </c>
      <c r="Z1670" s="661" t="str">
        <f t="shared" si="76"/>
        <v/>
      </c>
    </row>
    <row r="1671" spans="1:26" s="128" customFormat="1" ht="25" hidden="1">
      <c r="A1671" s="655">
        <v>61499</v>
      </c>
      <c r="B1671" s="656" t="s">
        <v>33</v>
      </c>
      <c r="C1671" s="655" t="s">
        <v>2793</v>
      </c>
      <c r="D1671" s="656" t="s">
        <v>2221</v>
      </c>
      <c r="E1671" s="656" t="s">
        <v>1128</v>
      </c>
      <c r="F1671" s="655">
        <v>56769</v>
      </c>
      <c r="G1671" s="656" t="s">
        <v>131</v>
      </c>
      <c r="H1671" s="656" t="s">
        <v>1183</v>
      </c>
      <c r="I1671" s="656" t="s">
        <v>58</v>
      </c>
      <c r="J1671" s="655">
        <v>22</v>
      </c>
      <c r="K1671" s="655">
        <v>2</v>
      </c>
      <c r="L1671" s="656" t="s">
        <v>52</v>
      </c>
      <c r="M1671" s="656" t="s">
        <v>448</v>
      </c>
      <c r="N1671" s="656" t="s">
        <v>449</v>
      </c>
      <c r="O1671" s="656" t="s">
        <v>449</v>
      </c>
      <c r="P1671" s="656" t="s">
        <v>1176</v>
      </c>
      <c r="Q1671" s="657">
        <v>0</v>
      </c>
      <c r="R1671" s="657">
        <v>0</v>
      </c>
      <c r="S1671" s="657">
        <v>27342</v>
      </c>
      <c r="T1671" s="657">
        <v>27342</v>
      </c>
      <c r="U1671" s="657">
        <v>3092</v>
      </c>
      <c r="V1671" s="655">
        <v>2021</v>
      </c>
      <c r="W1671" s="659"/>
      <c r="X1671" s="660">
        <f t="shared" si="77"/>
        <v>8.8428201811125486</v>
      </c>
      <c r="Y1671" s="661" t="str">
        <f t="shared" ref="Y1671:Y1734" si="78">IF(AND($M1671=$Y$2,$N1671=$Y$3,NOT($Q1671=$R1671),NOT($U1671=0)),IF($K1671=5,$S1671/($U1671+(8/5)*$U1671),IF($K1671=7,$S1671/($U1671+(29/25)*$U1671),"")),"")</f>
        <v/>
      </c>
      <c r="Z1671" s="661" t="str">
        <f t="shared" ref="Z1671:Z1734" si="79">IF(AND($M1671=$Y$2,$N1671=$Y$4,NOT($Q1671=$R1671),NOT($U1671=0)),IF($K1671=5,$S1671/($U1671+(8/5)*$U1671),IF($K1671=7,$S1671/($U1671+(29/25)*$U1671),"")),"")</f>
        <v/>
      </c>
    </row>
    <row r="1672" spans="1:26" s="128" customFormat="1" hidden="1">
      <c r="A1672" s="655">
        <v>61509</v>
      </c>
      <c r="B1672" s="656" t="s">
        <v>33</v>
      </c>
      <c r="C1672" s="655" t="s">
        <v>2793</v>
      </c>
      <c r="D1672" s="656" t="s">
        <v>2222</v>
      </c>
      <c r="E1672" s="656" t="s">
        <v>2210</v>
      </c>
      <c r="F1672" s="655">
        <v>61012</v>
      </c>
      <c r="G1672" s="656" t="s">
        <v>57</v>
      </c>
      <c r="H1672" s="656" t="s">
        <v>1182</v>
      </c>
      <c r="I1672" s="656" t="s">
        <v>58</v>
      </c>
      <c r="J1672" s="655">
        <v>22</v>
      </c>
      <c r="K1672" s="655">
        <v>2</v>
      </c>
      <c r="L1672" s="656" t="s">
        <v>52</v>
      </c>
      <c r="M1672" s="656" t="s">
        <v>448</v>
      </c>
      <c r="N1672" s="656" t="s">
        <v>449</v>
      </c>
      <c r="O1672" s="656" t="s">
        <v>449</v>
      </c>
      <c r="P1672" s="656" t="s">
        <v>1176</v>
      </c>
      <c r="Q1672" s="657">
        <v>0</v>
      </c>
      <c r="R1672" s="657">
        <v>0</v>
      </c>
      <c r="S1672" s="657">
        <v>40960</v>
      </c>
      <c r="T1672" s="657">
        <v>40960</v>
      </c>
      <c r="U1672" s="657">
        <v>4632</v>
      </c>
      <c r="V1672" s="655">
        <v>2021</v>
      </c>
      <c r="W1672" s="659"/>
      <c r="X1672" s="660">
        <f t="shared" ref="X1672:X1735" si="80">IF(OR(K1672&gt;3,T1672=0,NOT(U1672&gt;0)),"",T1672/U1672)</f>
        <v>8.842832469775475</v>
      </c>
      <c r="Y1672" s="661" t="str">
        <f t="shared" si="78"/>
        <v/>
      </c>
      <c r="Z1672" s="661" t="str">
        <f t="shared" si="79"/>
        <v/>
      </c>
    </row>
    <row r="1673" spans="1:26" s="128" customFormat="1" ht="25" hidden="1">
      <c r="A1673" s="655">
        <v>61510</v>
      </c>
      <c r="B1673" s="656" t="s">
        <v>33</v>
      </c>
      <c r="C1673" s="655" t="s">
        <v>2793</v>
      </c>
      <c r="D1673" s="656" t="s">
        <v>2223</v>
      </c>
      <c r="E1673" s="656" t="s">
        <v>2210</v>
      </c>
      <c r="F1673" s="655">
        <v>61012</v>
      </c>
      <c r="G1673" s="656" t="s">
        <v>57</v>
      </c>
      <c r="H1673" s="656" t="s">
        <v>1182</v>
      </c>
      <c r="I1673" s="656" t="s">
        <v>58</v>
      </c>
      <c r="J1673" s="655">
        <v>22</v>
      </c>
      <c r="K1673" s="655">
        <v>2</v>
      </c>
      <c r="L1673" s="656" t="s">
        <v>52</v>
      </c>
      <c r="M1673" s="656" t="s">
        <v>448</v>
      </c>
      <c r="N1673" s="656" t="s">
        <v>449</v>
      </c>
      <c r="O1673" s="656" t="s">
        <v>449</v>
      </c>
      <c r="P1673" s="656" t="s">
        <v>1176</v>
      </c>
      <c r="Q1673" s="657">
        <v>0</v>
      </c>
      <c r="R1673" s="657">
        <v>0</v>
      </c>
      <c r="S1673" s="657">
        <v>79792</v>
      </c>
      <c r="T1673" s="657">
        <v>79792</v>
      </c>
      <c r="U1673" s="657">
        <v>9023</v>
      </c>
      <c r="V1673" s="655">
        <v>2021</v>
      </c>
      <c r="W1673" s="659"/>
      <c r="X1673" s="660">
        <f t="shared" si="80"/>
        <v>8.8431785437216011</v>
      </c>
      <c r="Y1673" s="661" t="str">
        <f t="shared" si="78"/>
        <v/>
      </c>
      <c r="Z1673" s="661" t="str">
        <f t="shared" si="79"/>
        <v/>
      </c>
    </row>
    <row r="1674" spans="1:26" s="128" customFormat="1">
      <c r="A1674" s="655">
        <v>61518</v>
      </c>
      <c r="B1674" s="656" t="s">
        <v>33</v>
      </c>
      <c r="C1674" s="655" t="s">
        <v>2793</v>
      </c>
      <c r="D1674" s="656" t="s">
        <v>2224</v>
      </c>
      <c r="E1674" s="656" t="s">
        <v>1765</v>
      </c>
      <c r="F1674" s="655">
        <v>59254</v>
      </c>
      <c r="G1674" s="656" t="s">
        <v>81</v>
      </c>
      <c r="H1674" s="656" t="s">
        <v>1183</v>
      </c>
      <c r="I1674" s="656" t="s">
        <v>58</v>
      </c>
      <c r="J1674" s="655">
        <v>22</v>
      </c>
      <c r="K1674" s="655">
        <v>2</v>
      </c>
      <c r="L1674" s="656" t="s">
        <v>52</v>
      </c>
      <c r="M1674" s="656" t="s">
        <v>448</v>
      </c>
      <c r="N1674" s="656" t="s">
        <v>449</v>
      </c>
      <c r="O1674" s="656" t="s">
        <v>449</v>
      </c>
      <c r="P1674" s="656" t="s">
        <v>1176</v>
      </c>
      <c r="Q1674" s="657">
        <v>0</v>
      </c>
      <c r="R1674" s="657">
        <v>0</v>
      </c>
      <c r="S1674" s="657">
        <v>20869</v>
      </c>
      <c r="T1674" s="657">
        <v>20869</v>
      </c>
      <c r="U1674" s="657">
        <v>2360</v>
      </c>
      <c r="V1674" s="655">
        <v>2021</v>
      </c>
      <c r="W1674" s="659"/>
      <c r="X1674" s="660">
        <f t="shared" si="80"/>
        <v>8.8427966101694917</v>
      </c>
      <c r="Y1674" s="661" t="str">
        <f t="shared" si="78"/>
        <v/>
      </c>
      <c r="Z1674" s="661" t="str">
        <f t="shared" si="79"/>
        <v/>
      </c>
    </row>
    <row r="1675" spans="1:26" s="128" customFormat="1">
      <c r="A1675" s="655">
        <v>61526</v>
      </c>
      <c r="B1675" s="656" t="s">
        <v>33</v>
      </c>
      <c r="C1675" s="655" t="s">
        <v>2793</v>
      </c>
      <c r="D1675" s="656" t="s">
        <v>2364</v>
      </c>
      <c r="E1675" s="656" t="s">
        <v>2157</v>
      </c>
      <c r="F1675" s="655">
        <v>61060</v>
      </c>
      <c r="G1675" s="656" t="s">
        <v>81</v>
      </c>
      <c r="H1675" s="656" t="s">
        <v>1183</v>
      </c>
      <c r="I1675" s="656" t="s">
        <v>58</v>
      </c>
      <c r="J1675" s="655">
        <v>22</v>
      </c>
      <c r="K1675" s="655">
        <v>2</v>
      </c>
      <c r="L1675" s="656" t="s">
        <v>52</v>
      </c>
      <c r="M1675" s="656" t="s">
        <v>448</v>
      </c>
      <c r="N1675" s="656" t="s">
        <v>449</v>
      </c>
      <c r="O1675" s="656" t="s">
        <v>449</v>
      </c>
      <c r="P1675" s="656" t="s">
        <v>1176</v>
      </c>
      <c r="Q1675" s="657">
        <v>0</v>
      </c>
      <c r="R1675" s="657">
        <v>0</v>
      </c>
      <c r="S1675" s="657">
        <v>12363</v>
      </c>
      <c r="T1675" s="657">
        <v>12363</v>
      </c>
      <c r="U1675" s="657">
        <v>1398</v>
      </c>
      <c r="V1675" s="655">
        <v>2021</v>
      </c>
      <c r="W1675" s="659"/>
      <c r="X1675" s="660">
        <f t="shared" si="80"/>
        <v>8.8433476394849784</v>
      </c>
      <c r="Y1675" s="661" t="str">
        <f t="shared" si="78"/>
        <v/>
      </c>
      <c r="Z1675" s="661" t="str">
        <f t="shared" si="79"/>
        <v/>
      </c>
    </row>
    <row r="1676" spans="1:26" s="128" customFormat="1">
      <c r="A1676" s="655">
        <v>61537</v>
      </c>
      <c r="B1676" s="656" t="s">
        <v>33</v>
      </c>
      <c r="C1676" s="655" t="s">
        <v>2793</v>
      </c>
      <c r="D1676" s="656" t="s">
        <v>2225</v>
      </c>
      <c r="E1676" s="656" t="s">
        <v>2226</v>
      </c>
      <c r="F1676" s="655">
        <v>61146</v>
      </c>
      <c r="G1676" s="656" t="s">
        <v>81</v>
      </c>
      <c r="H1676" s="656" t="s">
        <v>1183</v>
      </c>
      <c r="I1676" s="656" t="s">
        <v>58</v>
      </c>
      <c r="J1676" s="655">
        <v>22</v>
      </c>
      <c r="K1676" s="655">
        <v>2</v>
      </c>
      <c r="L1676" s="656" t="s">
        <v>52</v>
      </c>
      <c r="M1676" s="656" t="s">
        <v>448</v>
      </c>
      <c r="N1676" s="656" t="s">
        <v>449</v>
      </c>
      <c r="O1676" s="656" t="s">
        <v>449</v>
      </c>
      <c r="P1676" s="656" t="s">
        <v>1176</v>
      </c>
      <c r="Q1676" s="657">
        <v>0</v>
      </c>
      <c r="R1676" s="657">
        <v>0</v>
      </c>
      <c r="S1676" s="657">
        <v>24954</v>
      </c>
      <c r="T1676" s="657">
        <v>24954</v>
      </c>
      <c r="U1676" s="657">
        <v>2822</v>
      </c>
      <c r="V1676" s="655">
        <v>2021</v>
      </c>
      <c r="W1676" s="659"/>
      <c r="X1676" s="660">
        <f t="shared" si="80"/>
        <v>8.8426647767540754</v>
      </c>
      <c r="Y1676" s="661" t="str">
        <f t="shared" si="78"/>
        <v/>
      </c>
      <c r="Z1676" s="661" t="str">
        <f t="shared" si="79"/>
        <v/>
      </c>
    </row>
    <row r="1677" spans="1:26" s="128" customFormat="1">
      <c r="A1677" s="655">
        <v>61538</v>
      </c>
      <c r="B1677" s="656" t="s">
        <v>33</v>
      </c>
      <c r="C1677" s="655" t="s">
        <v>2793</v>
      </c>
      <c r="D1677" s="656" t="s">
        <v>2227</v>
      </c>
      <c r="E1677" s="656" t="s">
        <v>2228</v>
      </c>
      <c r="F1677" s="655">
        <v>61147</v>
      </c>
      <c r="G1677" s="656" t="s">
        <v>81</v>
      </c>
      <c r="H1677" s="656" t="s">
        <v>1183</v>
      </c>
      <c r="I1677" s="656" t="s">
        <v>58</v>
      </c>
      <c r="J1677" s="655">
        <v>22</v>
      </c>
      <c r="K1677" s="655">
        <v>2</v>
      </c>
      <c r="L1677" s="656" t="s">
        <v>52</v>
      </c>
      <c r="M1677" s="656" t="s">
        <v>448</v>
      </c>
      <c r="N1677" s="656" t="s">
        <v>449</v>
      </c>
      <c r="O1677" s="656" t="s">
        <v>449</v>
      </c>
      <c r="P1677" s="656" t="s">
        <v>1176</v>
      </c>
      <c r="Q1677" s="657">
        <v>0</v>
      </c>
      <c r="R1677" s="657">
        <v>0</v>
      </c>
      <c r="S1677" s="657">
        <v>14112</v>
      </c>
      <c r="T1677" s="657">
        <v>14112</v>
      </c>
      <c r="U1677" s="657">
        <v>1596</v>
      </c>
      <c r="V1677" s="655">
        <v>2021</v>
      </c>
      <c r="W1677" s="659"/>
      <c r="X1677" s="660">
        <f t="shared" si="80"/>
        <v>8.8421052631578956</v>
      </c>
      <c r="Y1677" s="661" t="str">
        <f t="shared" si="78"/>
        <v/>
      </c>
      <c r="Z1677" s="661" t="str">
        <f t="shared" si="79"/>
        <v/>
      </c>
    </row>
    <row r="1678" spans="1:26" s="128" customFormat="1">
      <c r="A1678" s="655">
        <v>61539</v>
      </c>
      <c r="B1678" s="656" t="s">
        <v>33</v>
      </c>
      <c r="C1678" s="655" t="s">
        <v>2793</v>
      </c>
      <c r="D1678" s="656" t="s">
        <v>2229</v>
      </c>
      <c r="E1678" s="656" t="s">
        <v>2230</v>
      </c>
      <c r="F1678" s="655">
        <v>61148</v>
      </c>
      <c r="G1678" s="656" t="s">
        <v>81</v>
      </c>
      <c r="H1678" s="656" t="s">
        <v>1183</v>
      </c>
      <c r="I1678" s="656" t="s">
        <v>58</v>
      </c>
      <c r="J1678" s="655">
        <v>22</v>
      </c>
      <c r="K1678" s="655">
        <v>2</v>
      </c>
      <c r="L1678" s="656" t="s">
        <v>52</v>
      </c>
      <c r="M1678" s="656" t="s">
        <v>448</v>
      </c>
      <c r="N1678" s="656" t="s">
        <v>449</v>
      </c>
      <c r="O1678" s="656" t="s">
        <v>449</v>
      </c>
      <c r="P1678" s="656" t="s">
        <v>1176</v>
      </c>
      <c r="Q1678" s="657">
        <v>0</v>
      </c>
      <c r="R1678" s="657">
        <v>0</v>
      </c>
      <c r="S1678" s="657">
        <v>30977</v>
      </c>
      <c r="T1678" s="657">
        <v>30977</v>
      </c>
      <c r="U1678" s="657">
        <v>3503</v>
      </c>
      <c r="V1678" s="655">
        <v>2021</v>
      </c>
      <c r="W1678" s="659"/>
      <c r="X1678" s="660">
        <f t="shared" si="80"/>
        <v>8.8429917213816722</v>
      </c>
      <c r="Y1678" s="661" t="str">
        <f t="shared" si="78"/>
        <v/>
      </c>
      <c r="Z1678" s="661" t="str">
        <f t="shared" si="79"/>
        <v/>
      </c>
    </row>
    <row r="1679" spans="1:26" s="128" customFormat="1" hidden="1">
      <c r="A1679" s="655">
        <v>61541</v>
      </c>
      <c r="B1679" s="656" t="s">
        <v>33</v>
      </c>
      <c r="C1679" s="655" t="s">
        <v>2793</v>
      </c>
      <c r="D1679" s="656" t="s">
        <v>2365</v>
      </c>
      <c r="E1679" s="656" t="s">
        <v>1922</v>
      </c>
      <c r="F1679" s="655">
        <v>60947</v>
      </c>
      <c r="G1679" s="656" t="s">
        <v>41</v>
      </c>
      <c r="H1679" s="656" t="s">
        <v>1183</v>
      </c>
      <c r="I1679" s="656" t="s">
        <v>58</v>
      </c>
      <c r="J1679" s="655">
        <v>22</v>
      </c>
      <c r="K1679" s="655">
        <v>2</v>
      </c>
      <c r="L1679" s="656" t="s">
        <v>52</v>
      </c>
      <c r="M1679" s="656" t="s">
        <v>448</v>
      </c>
      <c r="N1679" s="656" t="s">
        <v>449</v>
      </c>
      <c r="O1679" s="656" t="s">
        <v>449</v>
      </c>
      <c r="P1679" s="656" t="s">
        <v>1176</v>
      </c>
      <c r="Q1679" s="657">
        <v>0</v>
      </c>
      <c r="R1679" s="657">
        <v>0</v>
      </c>
      <c r="S1679" s="657">
        <v>41033</v>
      </c>
      <c r="T1679" s="657">
        <v>41033</v>
      </c>
      <c r="U1679" s="657">
        <v>4640</v>
      </c>
      <c r="V1679" s="655">
        <v>2021</v>
      </c>
      <c r="W1679" s="659"/>
      <c r="X1679" s="660">
        <f t="shared" si="80"/>
        <v>8.8433189655172413</v>
      </c>
      <c r="Y1679" s="661" t="str">
        <f t="shared" si="78"/>
        <v/>
      </c>
      <c r="Z1679" s="661" t="str">
        <f t="shared" si="79"/>
        <v/>
      </c>
    </row>
    <row r="1680" spans="1:26" s="128" customFormat="1">
      <c r="A1680" s="655">
        <v>61550</v>
      </c>
      <c r="B1680" s="656" t="s">
        <v>33</v>
      </c>
      <c r="C1680" s="655" t="s">
        <v>2793</v>
      </c>
      <c r="D1680" s="656" t="s">
        <v>2826</v>
      </c>
      <c r="E1680" s="656" t="s">
        <v>3381</v>
      </c>
      <c r="F1680" s="655">
        <v>64647</v>
      </c>
      <c r="G1680" s="656" t="s">
        <v>81</v>
      </c>
      <c r="H1680" s="656" t="s">
        <v>1183</v>
      </c>
      <c r="I1680" s="656" t="s">
        <v>58</v>
      </c>
      <c r="J1680" s="655">
        <v>22</v>
      </c>
      <c r="K1680" s="655">
        <v>2</v>
      </c>
      <c r="L1680" s="656" t="s">
        <v>52</v>
      </c>
      <c r="M1680" s="656" t="s">
        <v>448</v>
      </c>
      <c r="N1680" s="656" t="s">
        <v>449</v>
      </c>
      <c r="O1680" s="656" t="s">
        <v>449</v>
      </c>
      <c r="P1680" s="656" t="s">
        <v>1176</v>
      </c>
      <c r="Q1680" s="657">
        <v>0</v>
      </c>
      <c r="R1680" s="657">
        <v>0</v>
      </c>
      <c r="S1680" s="657">
        <v>46523</v>
      </c>
      <c r="T1680" s="657">
        <v>46523</v>
      </c>
      <c r="U1680" s="657">
        <v>5261</v>
      </c>
      <c r="V1680" s="655">
        <v>2021</v>
      </c>
      <c r="W1680" s="659"/>
      <c r="X1680" s="660">
        <f t="shared" si="80"/>
        <v>8.8429956282075644</v>
      </c>
      <c r="Y1680" s="661" t="str">
        <f t="shared" si="78"/>
        <v/>
      </c>
      <c r="Z1680" s="661" t="str">
        <f t="shared" si="79"/>
        <v/>
      </c>
    </row>
    <row r="1681" spans="1:26" s="128" customFormat="1" ht="25" hidden="1">
      <c r="A1681" s="655">
        <v>61551</v>
      </c>
      <c r="B1681" s="656" t="s">
        <v>33</v>
      </c>
      <c r="C1681" s="655" t="s">
        <v>2793</v>
      </c>
      <c r="D1681" s="656" t="s">
        <v>2231</v>
      </c>
      <c r="E1681" s="656" t="s">
        <v>2231</v>
      </c>
      <c r="F1681" s="655">
        <v>61152</v>
      </c>
      <c r="G1681" s="656" t="s">
        <v>57</v>
      </c>
      <c r="H1681" s="656" t="s">
        <v>1182</v>
      </c>
      <c r="I1681" s="656" t="s">
        <v>58</v>
      </c>
      <c r="J1681" s="655">
        <v>622</v>
      </c>
      <c r="K1681" s="655">
        <v>4</v>
      </c>
      <c r="L1681" s="656" t="s">
        <v>412</v>
      </c>
      <c r="M1681" s="656" t="s">
        <v>51</v>
      </c>
      <c r="N1681" s="656" t="s">
        <v>46</v>
      </c>
      <c r="O1681" s="656" t="s">
        <v>46</v>
      </c>
      <c r="P1681" s="656" t="s">
        <v>47</v>
      </c>
      <c r="Q1681" s="657">
        <v>42</v>
      </c>
      <c r="R1681" s="657">
        <v>42</v>
      </c>
      <c r="S1681" s="657">
        <v>234</v>
      </c>
      <c r="T1681" s="657">
        <v>234</v>
      </c>
      <c r="U1681" s="657">
        <v>4.7990000000000004</v>
      </c>
      <c r="V1681" s="655">
        <v>2021</v>
      </c>
      <c r="W1681" s="659"/>
      <c r="X1681" s="660" t="str">
        <f t="shared" si="80"/>
        <v/>
      </c>
      <c r="Y1681" s="661" t="str">
        <f t="shared" si="78"/>
        <v/>
      </c>
      <c r="Z1681" s="661" t="str">
        <f t="shared" si="79"/>
        <v/>
      </c>
    </row>
    <row r="1682" spans="1:26" s="128" customFormat="1" ht="25" hidden="1">
      <c r="A1682" s="655">
        <v>61551</v>
      </c>
      <c r="B1682" s="656" t="s">
        <v>33</v>
      </c>
      <c r="C1682" s="655" t="s">
        <v>2793</v>
      </c>
      <c r="D1682" s="656" t="s">
        <v>2231</v>
      </c>
      <c r="E1682" s="656" t="s">
        <v>2231</v>
      </c>
      <c r="F1682" s="655">
        <v>61152</v>
      </c>
      <c r="G1682" s="656" t="s">
        <v>57</v>
      </c>
      <c r="H1682" s="656" t="s">
        <v>1182</v>
      </c>
      <c r="I1682" s="656" t="s">
        <v>58</v>
      </c>
      <c r="J1682" s="655">
        <v>622</v>
      </c>
      <c r="K1682" s="655">
        <v>4</v>
      </c>
      <c r="L1682" s="656" t="s">
        <v>412</v>
      </c>
      <c r="M1682" s="656" t="s">
        <v>51</v>
      </c>
      <c r="N1682" s="656" t="s">
        <v>39</v>
      </c>
      <c r="O1682" s="656" t="s">
        <v>39</v>
      </c>
      <c r="P1682" s="656" t="s">
        <v>1037</v>
      </c>
      <c r="Q1682" s="657">
        <v>1131</v>
      </c>
      <c r="R1682" s="657">
        <v>1131</v>
      </c>
      <c r="S1682" s="657">
        <v>1165</v>
      </c>
      <c r="T1682" s="657">
        <v>1165</v>
      </c>
      <c r="U1682" s="657">
        <v>24.201000000000001</v>
      </c>
      <c r="V1682" s="655">
        <v>2021</v>
      </c>
      <c r="W1682" s="659"/>
      <c r="X1682" s="660" t="str">
        <f t="shared" si="80"/>
        <v/>
      </c>
      <c r="Y1682" s="661" t="str">
        <f t="shared" si="78"/>
        <v/>
      </c>
      <c r="Z1682" s="661" t="str">
        <f t="shared" si="79"/>
        <v/>
      </c>
    </row>
    <row r="1683" spans="1:26" s="128" customFormat="1">
      <c r="A1683" s="655">
        <v>61555</v>
      </c>
      <c r="B1683" s="656" t="s">
        <v>33</v>
      </c>
      <c r="C1683" s="655" t="s">
        <v>2793</v>
      </c>
      <c r="D1683" s="656" t="s">
        <v>2827</v>
      </c>
      <c r="E1683" s="656" t="s">
        <v>2827</v>
      </c>
      <c r="F1683" s="655">
        <v>64638</v>
      </c>
      <c r="G1683" s="656" t="s">
        <v>81</v>
      </c>
      <c r="H1683" s="656" t="s">
        <v>1183</v>
      </c>
      <c r="I1683" s="656" t="s">
        <v>58</v>
      </c>
      <c r="J1683" s="655">
        <v>22</v>
      </c>
      <c r="K1683" s="655">
        <v>2</v>
      </c>
      <c r="L1683" s="656" t="s">
        <v>52</v>
      </c>
      <c r="M1683" s="656" t="s">
        <v>448</v>
      </c>
      <c r="N1683" s="656" t="s">
        <v>449</v>
      </c>
      <c r="O1683" s="656" t="s">
        <v>449</v>
      </c>
      <c r="P1683" s="656" t="s">
        <v>1176</v>
      </c>
      <c r="Q1683" s="657">
        <v>0</v>
      </c>
      <c r="R1683" s="657">
        <v>0</v>
      </c>
      <c r="S1683" s="657">
        <v>56684</v>
      </c>
      <c r="T1683" s="657">
        <v>56684</v>
      </c>
      <c r="U1683" s="657">
        <v>6410</v>
      </c>
      <c r="V1683" s="655">
        <v>2021</v>
      </c>
      <c r="W1683" s="659"/>
      <c r="X1683" s="660">
        <f t="shared" si="80"/>
        <v>8.8430577223088918</v>
      </c>
      <c r="Y1683" s="661" t="str">
        <f t="shared" si="78"/>
        <v/>
      </c>
      <c r="Z1683" s="661" t="str">
        <f t="shared" si="79"/>
        <v/>
      </c>
    </row>
    <row r="1684" spans="1:26" s="128" customFormat="1" ht="25">
      <c r="A1684" s="655">
        <v>61562</v>
      </c>
      <c r="B1684" s="656" t="s">
        <v>33</v>
      </c>
      <c r="C1684" s="655" t="s">
        <v>2793</v>
      </c>
      <c r="D1684" s="656" t="s">
        <v>2232</v>
      </c>
      <c r="E1684" s="656" t="s">
        <v>1657</v>
      </c>
      <c r="F1684" s="655">
        <v>58871</v>
      </c>
      <c r="G1684" s="656" t="s">
        <v>81</v>
      </c>
      <c r="H1684" s="656" t="s">
        <v>1183</v>
      </c>
      <c r="I1684" s="656" t="s">
        <v>58</v>
      </c>
      <c r="J1684" s="655">
        <v>22</v>
      </c>
      <c r="K1684" s="655">
        <v>2</v>
      </c>
      <c r="L1684" s="656" t="s">
        <v>52</v>
      </c>
      <c r="M1684" s="656" t="s">
        <v>448</v>
      </c>
      <c r="N1684" s="656" t="s">
        <v>449</v>
      </c>
      <c r="O1684" s="656" t="s">
        <v>449</v>
      </c>
      <c r="P1684" s="656" t="s">
        <v>1176</v>
      </c>
      <c r="Q1684" s="657">
        <v>0</v>
      </c>
      <c r="R1684" s="657">
        <v>0</v>
      </c>
      <c r="S1684" s="657">
        <v>36027</v>
      </c>
      <c r="T1684" s="657">
        <v>36027</v>
      </c>
      <c r="U1684" s="657">
        <v>4074</v>
      </c>
      <c r="V1684" s="655">
        <v>2021</v>
      </c>
      <c r="W1684" s="659"/>
      <c r="X1684" s="660">
        <f t="shared" si="80"/>
        <v>8.8431516936671581</v>
      </c>
      <c r="Y1684" s="661" t="str">
        <f t="shared" si="78"/>
        <v/>
      </c>
      <c r="Z1684" s="661" t="str">
        <f t="shared" si="79"/>
        <v/>
      </c>
    </row>
    <row r="1685" spans="1:26" s="128" customFormat="1" ht="25" hidden="1">
      <c r="A1685" s="655">
        <v>61567</v>
      </c>
      <c r="B1685" s="656" t="s">
        <v>33</v>
      </c>
      <c r="C1685" s="655" t="s">
        <v>2793</v>
      </c>
      <c r="D1685" s="656" t="s">
        <v>2233</v>
      </c>
      <c r="E1685" s="656" t="s">
        <v>2233</v>
      </c>
      <c r="F1685" s="655">
        <v>61162</v>
      </c>
      <c r="G1685" s="656" t="s">
        <v>57</v>
      </c>
      <c r="H1685" s="656" t="s">
        <v>1182</v>
      </c>
      <c r="I1685" s="656" t="s">
        <v>58</v>
      </c>
      <c r="J1685" s="655">
        <v>622</v>
      </c>
      <c r="K1685" s="655">
        <v>4</v>
      </c>
      <c r="L1685" s="656" t="s">
        <v>412</v>
      </c>
      <c r="M1685" s="656" t="s">
        <v>51</v>
      </c>
      <c r="N1685" s="656" t="s">
        <v>46</v>
      </c>
      <c r="O1685" s="656" t="s">
        <v>46</v>
      </c>
      <c r="P1685" s="656" t="s">
        <v>47</v>
      </c>
      <c r="Q1685" s="657">
        <v>355</v>
      </c>
      <c r="R1685" s="657">
        <v>355</v>
      </c>
      <c r="S1685" s="657">
        <v>1955</v>
      </c>
      <c r="T1685" s="657">
        <v>1955</v>
      </c>
      <c r="U1685" s="657">
        <v>150</v>
      </c>
      <c r="V1685" s="655">
        <v>2021</v>
      </c>
      <c r="W1685" s="659"/>
      <c r="X1685" s="660" t="str">
        <f t="shared" si="80"/>
        <v/>
      </c>
      <c r="Y1685" s="661" t="str">
        <f t="shared" si="78"/>
        <v/>
      </c>
      <c r="Z1685" s="661" t="str">
        <f t="shared" si="79"/>
        <v/>
      </c>
    </row>
    <row r="1686" spans="1:26" s="128" customFormat="1" ht="25" hidden="1">
      <c r="A1686" s="655">
        <v>61568</v>
      </c>
      <c r="B1686" s="656" t="s">
        <v>33</v>
      </c>
      <c r="C1686" s="655" t="s">
        <v>2793</v>
      </c>
      <c r="D1686" s="656" t="s">
        <v>2366</v>
      </c>
      <c r="E1686" s="656" t="s">
        <v>2366</v>
      </c>
      <c r="F1686" s="655">
        <v>61164</v>
      </c>
      <c r="G1686" s="656" t="s">
        <v>57</v>
      </c>
      <c r="H1686" s="656" t="s">
        <v>1182</v>
      </c>
      <c r="I1686" s="656" t="s">
        <v>58</v>
      </c>
      <c r="J1686" s="655">
        <v>622</v>
      </c>
      <c r="K1686" s="655">
        <v>4</v>
      </c>
      <c r="L1686" s="656" t="s">
        <v>412</v>
      </c>
      <c r="M1686" s="656" t="s">
        <v>51</v>
      </c>
      <c r="N1686" s="656" t="s">
        <v>46</v>
      </c>
      <c r="O1686" s="656" t="s">
        <v>46</v>
      </c>
      <c r="P1686" s="656" t="s">
        <v>47</v>
      </c>
      <c r="Q1686" s="657">
        <v>35</v>
      </c>
      <c r="R1686" s="657">
        <v>35</v>
      </c>
      <c r="S1686" s="657">
        <v>195</v>
      </c>
      <c r="T1686" s="657">
        <v>195</v>
      </c>
      <c r="U1686" s="657">
        <v>6</v>
      </c>
      <c r="V1686" s="655">
        <v>2021</v>
      </c>
      <c r="W1686" s="659"/>
      <c r="X1686" s="660" t="str">
        <f t="shared" si="80"/>
        <v/>
      </c>
      <c r="Y1686" s="661" t="str">
        <f t="shared" si="78"/>
        <v/>
      </c>
      <c r="Z1686" s="661" t="str">
        <f t="shared" si="79"/>
        <v/>
      </c>
    </row>
    <row r="1687" spans="1:26" s="128" customFormat="1" ht="25" hidden="1">
      <c r="A1687" s="655">
        <v>61569</v>
      </c>
      <c r="B1687" s="656" t="s">
        <v>33</v>
      </c>
      <c r="C1687" s="655" t="s">
        <v>2793</v>
      </c>
      <c r="D1687" s="656" t="s">
        <v>2367</v>
      </c>
      <c r="E1687" s="656" t="s">
        <v>2367</v>
      </c>
      <c r="F1687" s="655">
        <v>61165</v>
      </c>
      <c r="G1687" s="656" t="s">
        <v>57</v>
      </c>
      <c r="H1687" s="656" t="s">
        <v>1182</v>
      </c>
      <c r="I1687" s="656" t="s">
        <v>58</v>
      </c>
      <c r="J1687" s="655">
        <v>622</v>
      </c>
      <c r="K1687" s="655">
        <v>4</v>
      </c>
      <c r="L1687" s="656" t="s">
        <v>412</v>
      </c>
      <c r="M1687" s="656" t="s">
        <v>51</v>
      </c>
      <c r="N1687" s="656" t="s">
        <v>46</v>
      </c>
      <c r="O1687" s="656" t="s">
        <v>46</v>
      </c>
      <c r="P1687" s="656" t="s">
        <v>47</v>
      </c>
      <c r="Q1687" s="657">
        <v>83</v>
      </c>
      <c r="R1687" s="657">
        <v>83</v>
      </c>
      <c r="S1687" s="657">
        <v>460</v>
      </c>
      <c r="T1687" s="657">
        <v>460</v>
      </c>
      <c r="U1687" s="657">
        <v>48</v>
      </c>
      <c r="V1687" s="655">
        <v>2021</v>
      </c>
      <c r="W1687" s="659"/>
      <c r="X1687" s="660" t="str">
        <f t="shared" si="80"/>
        <v/>
      </c>
      <c r="Y1687" s="661" t="str">
        <f t="shared" si="78"/>
        <v/>
      </c>
      <c r="Z1687" s="661" t="str">
        <f t="shared" si="79"/>
        <v/>
      </c>
    </row>
    <row r="1688" spans="1:26" s="128" customFormat="1" ht="25" hidden="1">
      <c r="A1688" s="655">
        <v>61569</v>
      </c>
      <c r="B1688" s="656" t="s">
        <v>33</v>
      </c>
      <c r="C1688" s="655" t="s">
        <v>2793</v>
      </c>
      <c r="D1688" s="656" t="s">
        <v>2367</v>
      </c>
      <c r="E1688" s="656" t="s">
        <v>2367</v>
      </c>
      <c r="F1688" s="655">
        <v>61165</v>
      </c>
      <c r="G1688" s="656" t="s">
        <v>57</v>
      </c>
      <c r="H1688" s="656" t="s">
        <v>1182</v>
      </c>
      <c r="I1688" s="656" t="s">
        <v>58</v>
      </c>
      <c r="J1688" s="655">
        <v>622</v>
      </c>
      <c r="K1688" s="655">
        <v>4</v>
      </c>
      <c r="L1688" s="656" t="s">
        <v>412</v>
      </c>
      <c r="M1688" s="656" t="s">
        <v>51</v>
      </c>
      <c r="N1688" s="656" t="s">
        <v>39</v>
      </c>
      <c r="O1688" s="656" t="s">
        <v>39</v>
      </c>
      <c r="P1688" s="656" t="s">
        <v>1037</v>
      </c>
      <c r="Q1688" s="657">
        <v>0</v>
      </c>
      <c r="R1688" s="657">
        <v>0</v>
      </c>
      <c r="S1688" s="657">
        <v>0</v>
      </c>
      <c r="T1688" s="657">
        <v>0</v>
      </c>
      <c r="U1688" s="657">
        <v>0</v>
      </c>
      <c r="V1688" s="655">
        <v>2021</v>
      </c>
      <c r="W1688" s="659"/>
      <c r="X1688" s="660" t="str">
        <f t="shared" si="80"/>
        <v/>
      </c>
      <c r="Y1688" s="661" t="str">
        <f t="shared" si="78"/>
        <v/>
      </c>
      <c r="Z1688" s="661" t="str">
        <f t="shared" si="79"/>
        <v/>
      </c>
    </row>
    <row r="1689" spans="1:26" s="128" customFormat="1" ht="25" hidden="1">
      <c r="A1689" s="655">
        <v>61575</v>
      </c>
      <c r="B1689" s="656" t="s">
        <v>33</v>
      </c>
      <c r="C1689" s="655" t="s">
        <v>2793</v>
      </c>
      <c r="D1689" s="656" t="s">
        <v>2368</v>
      </c>
      <c r="E1689" s="656" t="s">
        <v>2210</v>
      </c>
      <c r="F1689" s="655">
        <v>61012</v>
      </c>
      <c r="G1689" s="656" t="s">
        <v>57</v>
      </c>
      <c r="H1689" s="656" t="s">
        <v>1182</v>
      </c>
      <c r="I1689" s="656" t="s">
        <v>58</v>
      </c>
      <c r="J1689" s="655">
        <v>22</v>
      </c>
      <c r="K1689" s="655">
        <v>2</v>
      </c>
      <c r="L1689" s="656" t="s">
        <v>52</v>
      </c>
      <c r="M1689" s="656" t="s">
        <v>448</v>
      </c>
      <c r="N1689" s="656" t="s">
        <v>449</v>
      </c>
      <c r="O1689" s="656" t="s">
        <v>449</v>
      </c>
      <c r="P1689" s="656" t="s">
        <v>1176</v>
      </c>
      <c r="Q1689" s="657">
        <v>0</v>
      </c>
      <c r="R1689" s="657">
        <v>0</v>
      </c>
      <c r="S1689" s="657">
        <v>25133</v>
      </c>
      <c r="T1689" s="657">
        <v>25133</v>
      </c>
      <c r="U1689" s="657">
        <v>2842</v>
      </c>
      <c r="V1689" s="655">
        <v>2021</v>
      </c>
      <c r="W1689" s="659"/>
      <c r="X1689" s="660">
        <f t="shared" si="80"/>
        <v>8.8434201266713579</v>
      </c>
      <c r="Y1689" s="661" t="str">
        <f t="shared" si="78"/>
        <v/>
      </c>
      <c r="Z1689" s="661" t="str">
        <f t="shared" si="79"/>
        <v/>
      </c>
    </row>
    <row r="1690" spans="1:26" s="128" customFormat="1" ht="25" hidden="1">
      <c r="A1690" s="655">
        <v>61576</v>
      </c>
      <c r="B1690" s="656" t="s">
        <v>33</v>
      </c>
      <c r="C1690" s="655" t="s">
        <v>2793</v>
      </c>
      <c r="D1690" s="656" t="s">
        <v>2369</v>
      </c>
      <c r="E1690" s="656" t="s">
        <v>2210</v>
      </c>
      <c r="F1690" s="655">
        <v>61012</v>
      </c>
      <c r="G1690" s="656" t="s">
        <v>57</v>
      </c>
      <c r="H1690" s="656" t="s">
        <v>1182</v>
      </c>
      <c r="I1690" s="656" t="s">
        <v>58</v>
      </c>
      <c r="J1690" s="655">
        <v>22</v>
      </c>
      <c r="K1690" s="655">
        <v>2</v>
      </c>
      <c r="L1690" s="656" t="s">
        <v>52</v>
      </c>
      <c r="M1690" s="656" t="s">
        <v>448</v>
      </c>
      <c r="N1690" s="656" t="s">
        <v>449</v>
      </c>
      <c r="O1690" s="656" t="s">
        <v>449</v>
      </c>
      <c r="P1690" s="656" t="s">
        <v>1176</v>
      </c>
      <c r="Q1690" s="657">
        <v>0</v>
      </c>
      <c r="R1690" s="657">
        <v>0</v>
      </c>
      <c r="S1690" s="657">
        <v>30437</v>
      </c>
      <c r="T1690" s="657">
        <v>30437</v>
      </c>
      <c r="U1690" s="657">
        <v>3442</v>
      </c>
      <c r="V1690" s="655">
        <v>2021</v>
      </c>
      <c r="W1690" s="659"/>
      <c r="X1690" s="660">
        <f t="shared" si="80"/>
        <v>8.8428239395700174</v>
      </c>
      <c r="Y1690" s="661" t="str">
        <f t="shared" si="78"/>
        <v/>
      </c>
      <c r="Z1690" s="661" t="str">
        <f t="shared" si="79"/>
        <v/>
      </c>
    </row>
    <row r="1691" spans="1:26" s="128" customFormat="1" ht="25" hidden="1">
      <c r="A1691" s="655">
        <v>61577</v>
      </c>
      <c r="B1691" s="656" t="s">
        <v>33</v>
      </c>
      <c r="C1691" s="655" t="s">
        <v>2793</v>
      </c>
      <c r="D1691" s="656" t="s">
        <v>2370</v>
      </c>
      <c r="E1691" s="656" t="s">
        <v>2210</v>
      </c>
      <c r="F1691" s="655">
        <v>61012</v>
      </c>
      <c r="G1691" s="656" t="s">
        <v>57</v>
      </c>
      <c r="H1691" s="656" t="s">
        <v>1182</v>
      </c>
      <c r="I1691" s="656" t="s">
        <v>58</v>
      </c>
      <c r="J1691" s="655">
        <v>22</v>
      </c>
      <c r="K1691" s="655">
        <v>2</v>
      </c>
      <c r="L1691" s="656" t="s">
        <v>52</v>
      </c>
      <c r="M1691" s="656" t="s">
        <v>448</v>
      </c>
      <c r="N1691" s="656" t="s">
        <v>449</v>
      </c>
      <c r="O1691" s="656" t="s">
        <v>449</v>
      </c>
      <c r="P1691" s="656" t="s">
        <v>1176</v>
      </c>
      <c r="Q1691" s="657">
        <v>0</v>
      </c>
      <c r="R1691" s="657">
        <v>0</v>
      </c>
      <c r="S1691" s="657">
        <v>26157</v>
      </c>
      <c r="T1691" s="657">
        <v>26157</v>
      </c>
      <c r="U1691" s="657">
        <v>2958</v>
      </c>
      <c r="V1691" s="655">
        <v>2021</v>
      </c>
      <c r="W1691" s="659"/>
      <c r="X1691" s="660">
        <f t="shared" si="80"/>
        <v>8.8427991886409743</v>
      </c>
      <c r="Y1691" s="661" t="str">
        <f t="shared" si="78"/>
        <v/>
      </c>
      <c r="Z1691" s="661" t="str">
        <f t="shared" si="79"/>
        <v/>
      </c>
    </row>
    <row r="1692" spans="1:26" s="128" customFormat="1" ht="25" hidden="1">
      <c r="A1692" s="655">
        <v>61578</v>
      </c>
      <c r="B1692" s="656" t="s">
        <v>33</v>
      </c>
      <c r="C1692" s="655" t="s">
        <v>2793</v>
      </c>
      <c r="D1692" s="656" t="s">
        <v>2371</v>
      </c>
      <c r="E1692" s="656" t="s">
        <v>2210</v>
      </c>
      <c r="F1692" s="655">
        <v>61012</v>
      </c>
      <c r="G1692" s="656" t="s">
        <v>57</v>
      </c>
      <c r="H1692" s="656" t="s">
        <v>1182</v>
      </c>
      <c r="I1692" s="656" t="s">
        <v>58</v>
      </c>
      <c r="J1692" s="655">
        <v>22</v>
      </c>
      <c r="K1692" s="655">
        <v>2</v>
      </c>
      <c r="L1692" s="656" t="s">
        <v>52</v>
      </c>
      <c r="M1692" s="656" t="s">
        <v>448</v>
      </c>
      <c r="N1692" s="656" t="s">
        <v>449</v>
      </c>
      <c r="O1692" s="656" t="s">
        <v>449</v>
      </c>
      <c r="P1692" s="656" t="s">
        <v>1176</v>
      </c>
      <c r="Q1692" s="657">
        <v>0</v>
      </c>
      <c r="R1692" s="657">
        <v>0</v>
      </c>
      <c r="S1692" s="657">
        <v>30527</v>
      </c>
      <c r="T1692" s="657">
        <v>30527</v>
      </c>
      <c r="U1692" s="657">
        <v>3452</v>
      </c>
      <c r="V1692" s="655">
        <v>2021</v>
      </c>
      <c r="W1692" s="659"/>
      <c r="X1692" s="660">
        <f t="shared" si="80"/>
        <v>8.8432792584009263</v>
      </c>
      <c r="Y1692" s="661" t="str">
        <f t="shared" si="78"/>
        <v/>
      </c>
      <c r="Z1692" s="661" t="str">
        <f t="shared" si="79"/>
        <v/>
      </c>
    </row>
    <row r="1693" spans="1:26" s="128" customFormat="1" ht="25" hidden="1">
      <c r="A1693" s="655">
        <v>61579</v>
      </c>
      <c r="B1693" s="656" t="s">
        <v>33</v>
      </c>
      <c r="C1693" s="655" t="s">
        <v>2793</v>
      </c>
      <c r="D1693" s="656" t="s">
        <v>3140</v>
      </c>
      <c r="E1693" s="656" t="s">
        <v>2210</v>
      </c>
      <c r="F1693" s="655">
        <v>61012</v>
      </c>
      <c r="G1693" s="656" t="s">
        <v>57</v>
      </c>
      <c r="H1693" s="656" t="s">
        <v>1182</v>
      </c>
      <c r="I1693" s="656" t="s">
        <v>58</v>
      </c>
      <c r="J1693" s="655">
        <v>22</v>
      </c>
      <c r="K1693" s="655">
        <v>2</v>
      </c>
      <c r="L1693" s="656" t="s">
        <v>52</v>
      </c>
      <c r="M1693" s="656" t="s">
        <v>448</v>
      </c>
      <c r="N1693" s="656" t="s">
        <v>449</v>
      </c>
      <c r="O1693" s="656" t="s">
        <v>449</v>
      </c>
      <c r="P1693" s="656" t="s">
        <v>1176</v>
      </c>
      <c r="Q1693" s="657">
        <v>0</v>
      </c>
      <c r="R1693" s="657">
        <v>0</v>
      </c>
      <c r="S1693" s="657">
        <v>25546</v>
      </c>
      <c r="T1693" s="657">
        <v>25546</v>
      </c>
      <c r="U1693" s="657">
        <v>2889</v>
      </c>
      <c r="V1693" s="655">
        <v>2021</v>
      </c>
      <c r="W1693" s="659"/>
      <c r="X1693" s="660">
        <f t="shared" si="80"/>
        <v>8.8425060574593282</v>
      </c>
      <c r="Y1693" s="661" t="str">
        <f t="shared" si="78"/>
        <v/>
      </c>
      <c r="Z1693" s="661" t="str">
        <f t="shared" si="79"/>
        <v/>
      </c>
    </row>
    <row r="1694" spans="1:26" s="128" customFormat="1">
      <c r="A1694" s="655">
        <v>61590</v>
      </c>
      <c r="B1694" s="656" t="s">
        <v>33</v>
      </c>
      <c r="C1694" s="655" t="s">
        <v>2793</v>
      </c>
      <c r="D1694" s="656" t="s">
        <v>2828</v>
      </c>
      <c r="E1694" s="656" t="s">
        <v>3382</v>
      </c>
      <c r="F1694" s="655">
        <v>64643</v>
      </c>
      <c r="G1694" s="656" t="s">
        <v>81</v>
      </c>
      <c r="H1694" s="656" t="s">
        <v>1183</v>
      </c>
      <c r="I1694" s="656" t="s">
        <v>58</v>
      </c>
      <c r="J1694" s="655">
        <v>22</v>
      </c>
      <c r="K1694" s="655">
        <v>2</v>
      </c>
      <c r="L1694" s="656" t="s">
        <v>52</v>
      </c>
      <c r="M1694" s="656" t="s">
        <v>448</v>
      </c>
      <c r="N1694" s="656" t="s">
        <v>449</v>
      </c>
      <c r="O1694" s="656" t="s">
        <v>449</v>
      </c>
      <c r="P1694" s="656" t="s">
        <v>1176</v>
      </c>
      <c r="Q1694" s="657">
        <v>0</v>
      </c>
      <c r="R1694" s="657">
        <v>0</v>
      </c>
      <c r="S1694" s="657">
        <v>28422</v>
      </c>
      <c r="T1694" s="657">
        <v>28422</v>
      </c>
      <c r="U1694" s="657">
        <v>3214</v>
      </c>
      <c r="V1694" s="655">
        <v>2021</v>
      </c>
      <c r="W1694" s="659"/>
      <c r="X1694" s="660">
        <f t="shared" si="80"/>
        <v>8.8431860609831983</v>
      </c>
      <c r="Y1694" s="661" t="str">
        <f t="shared" si="78"/>
        <v/>
      </c>
      <c r="Z1694" s="661" t="str">
        <f t="shared" si="79"/>
        <v/>
      </c>
    </row>
    <row r="1695" spans="1:26" s="128" customFormat="1" ht="25">
      <c r="A1695" s="655">
        <v>61591</v>
      </c>
      <c r="B1695" s="656" t="s">
        <v>33</v>
      </c>
      <c r="C1695" s="655" t="s">
        <v>2793</v>
      </c>
      <c r="D1695" s="656" t="s">
        <v>2234</v>
      </c>
      <c r="E1695" s="656" t="s">
        <v>2235</v>
      </c>
      <c r="F1695" s="655">
        <v>61190</v>
      </c>
      <c r="G1695" s="656" t="s">
        <v>81</v>
      </c>
      <c r="H1695" s="656" t="s">
        <v>1183</v>
      </c>
      <c r="I1695" s="656" t="s">
        <v>58</v>
      </c>
      <c r="J1695" s="655">
        <v>22</v>
      </c>
      <c r="K1695" s="655">
        <v>2</v>
      </c>
      <c r="L1695" s="656" t="s">
        <v>52</v>
      </c>
      <c r="M1695" s="656" t="s">
        <v>448</v>
      </c>
      <c r="N1695" s="656" t="s">
        <v>449</v>
      </c>
      <c r="O1695" s="656" t="s">
        <v>449</v>
      </c>
      <c r="P1695" s="656" t="s">
        <v>1176</v>
      </c>
      <c r="Q1695" s="657">
        <v>0</v>
      </c>
      <c r="R1695" s="657">
        <v>0</v>
      </c>
      <c r="S1695" s="657">
        <v>16827</v>
      </c>
      <c r="T1695" s="657">
        <v>16827</v>
      </c>
      <c r="U1695" s="657">
        <v>1903</v>
      </c>
      <c r="V1695" s="655">
        <v>2021</v>
      </c>
      <c r="W1695" s="659"/>
      <c r="X1695" s="660">
        <f t="shared" si="80"/>
        <v>8.8423541776142933</v>
      </c>
      <c r="Y1695" s="661" t="str">
        <f t="shared" si="78"/>
        <v/>
      </c>
      <c r="Z1695" s="661" t="str">
        <f t="shared" si="79"/>
        <v/>
      </c>
    </row>
    <row r="1696" spans="1:26" s="128" customFormat="1" ht="25">
      <c r="A1696" s="655">
        <v>61596</v>
      </c>
      <c r="B1696" s="656" t="s">
        <v>33</v>
      </c>
      <c r="C1696" s="655" t="s">
        <v>2793</v>
      </c>
      <c r="D1696" s="656" t="s">
        <v>2236</v>
      </c>
      <c r="E1696" s="656" t="s">
        <v>1657</v>
      </c>
      <c r="F1696" s="655">
        <v>58871</v>
      </c>
      <c r="G1696" s="656" t="s">
        <v>81</v>
      </c>
      <c r="H1696" s="656" t="s">
        <v>1183</v>
      </c>
      <c r="I1696" s="656" t="s">
        <v>58</v>
      </c>
      <c r="J1696" s="655">
        <v>22</v>
      </c>
      <c r="K1696" s="655">
        <v>2</v>
      </c>
      <c r="L1696" s="656" t="s">
        <v>52</v>
      </c>
      <c r="M1696" s="656" t="s">
        <v>448</v>
      </c>
      <c r="N1696" s="656" t="s">
        <v>449</v>
      </c>
      <c r="O1696" s="656" t="s">
        <v>449</v>
      </c>
      <c r="P1696" s="656" t="s">
        <v>1176</v>
      </c>
      <c r="Q1696" s="657">
        <v>0</v>
      </c>
      <c r="R1696" s="657">
        <v>0</v>
      </c>
      <c r="S1696" s="657">
        <v>19128</v>
      </c>
      <c r="T1696" s="657">
        <v>19128</v>
      </c>
      <c r="U1696" s="657">
        <v>2163</v>
      </c>
      <c r="V1696" s="655">
        <v>2021</v>
      </c>
      <c r="W1696" s="659"/>
      <c r="X1696" s="660">
        <f t="shared" si="80"/>
        <v>8.8432732316227458</v>
      </c>
      <c r="Y1696" s="661" t="str">
        <f t="shared" si="78"/>
        <v/>
      </c>
      <c r="Z1696" s="661" t="str">
        <f t="shared" si="79"/>
        <v/>
      </c>
    </row>
    <row r="1697" spans="1:26" s="128" customFormat="1" ht="25">
      <c r="A1697" s="655">
        <v>61597</v>
      </c>
      <c r="B1697" s="656" t="s">
        <v>33</v>
      </c>
      <c r="C1697" s="655" t="s">
        <v>2793</v>
      </c>
      <c r="D1697" s="656" t="s">
        <v>2237</v>
      </c>
      <c r="E1697" s="656" t="s">
        <v>1657</v>
      </c>
      <c r="F1697" s="655">
        <v>58871</v>
      </c>
      <c r="G1697" s="656" t="s">
        <v>81</v>
      </c>
      <c r="H1697" s="656" t="s">
        <v>1183</v>
      </c>
      <c r="I1697" s="656" t="s">
        <v>58</v>
      </c>
      <c r="J1697" s="655">
        <v>22</v>
      </c>
      <c r="K1697" s="655">
        <v>2</v>
      </c>
      <c r="L1697" s="656" t="s">
        <v>52</v>
      </c>
      <c r="M1697" s="656" t="s">
        <v>448</v>
      </c>
      <c r="N1697" s="656" t="s">
        <v>449</v>
      </c>
      <c r="O1697" s="656" t="s">
        <v>449</v>
      </c>
      <c r="P1697" s="656" t="s">
        <v>1176</v>
      </c>
      <c r="Q1697" s="657">
        <v>0</v>
      </c>
      <c r="R1697" s="657">
        <v>0</v>
      </c>
      <c r="S1697" s="657">
        <v>20287</v>
      </c>
      <c r="T1697" s="657">
        <v>20287</v>
      </c>
      <c r="U1697" s="657">
        <v>2294</v>
      </c>
      <c r="V1697" s="655">
        <v>2021</v>
      </c>
      <c r="W1697" s="659"/>
      <c r="X1697" s="660">
        <f t="shared" si="80"/>
        <v>8.843504795117699</v>
      </c>
      <c r="Y1697" s="661" t="str">
        <f t="shared" si="78"/>
        <v/>
      </c>
      <c r="Z1697" s="661" t="str">
        <f t="shared" si="79"/>
        <v/>
      </c>
    </row>
    <row r="1698" spans="1:26" s="128" customFormat="1" ht="25">
      <c r="A1698" s="655">
        <v>61598</v>
      </c>
      <c r="B1698" s="656" t="s">
        <v>33</v>
      </c>
      <c r="C1698" s="655" t="s">
        <v>2793</v>
      </c>
      <c r="D1698" s="656" t="s">
        <v>2238</v>
      </c>
      <c r="E1698" s="656" t="s">
        <v>1657</v>
      </c>
      <c r="F1698" s="655">
        <v>58871</v>
      </c>
      <c r="G1698" s="656" t="s">
        <v>81</v>
      </c>
      <c r="H1698" s="656" t="s">
        <v>1183</v>
      </c>
      <c r="I1698" s="656" t="s">
        <v>58</v>
      </c>
      <c r="J1698" s="655">
        <v>22</v>
      </c>
      <c r="K1698" s="655">
        <v>2</v>
      </c>
      <c r="L1698" s="656" t="s">
        <v>52</v>
      </c>
      <c r="M1698" s="656" t="s">
        <v>448</v>
      </c>
      <c r="N1698" s="656" t="s">
        <v>449</v>
      </c>
      <c r="O1698" s="656" t="s">
        <v>449</v>
      </c>
      <c r="P1698" s="656" t="s">
        <v>1176</v>
      </c>
      <c r="Q1698" s="657">
        <v>0</v>
      </c>
      <c r="R1698" s="657">
        <v>0</v>
      </c>
      <c r="S1698" s="657">
        <v>39157</v>
      </c>
      <c r="T1698" s="657">
        <v>39157</v>
      </c>
      <c r="U1698" s="657">
        <v>4428</v>
      </c>
      <c r="V1698" s="655">
        <v>2021</v>
      </c>
      <c r="W1698" s="659"/>
      <c r="X1698" s="660">
        <f t="shared" si="80"/>
        <v>8.8430442637759707</v>
      </c>
      <c r="Y1698" s="661" t="str">
        <f t="shared" si="78"/>
        <v/>
      </c>
      <c r="Z1698" s="661" t="str">
        <f t="shared" si="79"/>
        <v/>
      </c>
    </row>
    <row r="1699" spans="1:26" s="128" customFormat="1" ht="25">
      <c r="A1699" s="655">
        <v>61602</v>
      </c>
      <c r="B1699" s="656" t="s">
        <v>33</v>
      </c>
      <c r="C1699" s="655" t="s">
        <v>2793</v>
      </c>
      <c r="D1699" s="656" t="s">
        <v>2239</v>
      </c>
      <c r="E1699" s="656" t="s">
        <v>1128</v>
      </c>
      <c r="F1699" s="655">
        <v>56769</v>
      </c>
      <c r="G1699" s="656" t="s">
        <v>81</v>
      </c>
      <c r="H1699" s="656" t="s">
        <v>1183</v>
      </c>
      <c r="I1699" s="656" t="s">
        <v>58</v>
      </c>
      <c r="J1699" s="655">
        <v>22</v>
      </c>
      <c r="K1699" s="655">
        <v>2</v>
      </c>
      <c r="L1699" s="656" t="s">
        <v>52</v>
      </c>
      <c r="M1699" s="656" t="s">
        <v>448</v>
      </c>
      <c r="N1699" s="656" t="s">
        <v>449</v>
      </c>
      <c r="O1699" s="656" t="s">
        <v>449</v>
      </c>
      <c r="P1699" s="656" t="s">
        <v>1176</v>
      </c>
      <c r="Q1699" s="657">
        <v>0</v>
      </c>
      <c r="R1699" s="657">
        <v>0</v>
      </c>
      <c r="S1699" s="657">
        <v>42951</v>
      </c>
      <c r="T1699" s="657">
        <v>42951</v>
      </c>
      <c r="U1699" s="657">
        <v>4857</v>
      </c>
      <c r="V1699" s="655">
        <v>2021</v>
      </c>
      <c r="W1699" s="659"/>
      <c r="X1699" s="660">
        <f t="shared" si="80"/>
        <v>8.843113032736257</v>
      </c>
      <c r="Y1699" s="661" t="str">
        <f t="shared" si="78"/>
        <v/>
      </c>
      <c r="Z1699" s="661" t="str">
        <f t="shared" si="79"/>
        <v/>
      </c>
    </row>
    <row r="1700" spans="1:26" s="128" customFormat="1" ht="25">
      <c r="A1700" s="655">
        <v>61603</v>
      </c>
      <c r="B1700" s="656" t="s">
        <v>33</v>
      </c>
      <c r="C1700" s="655" t="s">
        <v>2793</v>
      </c>
      <c r="D1700" s="656" t="s">
        <v>2240</v>
      </c>
      <c r="E1700" s="656" t="s">
        <v>1128</v>
      </c>
      <c r="F1700" s="655">
        <v>56769</v>
      </c>
      <c r="G1700" s="656" t="s">
        <v>81</v>
      </c>
      <c r="H1700" s="656" t="s">
        <v>1183</v>
      </c>
      <c r="I1700" s="656" t="s">
        <v>58</v>
      </c>
      <c r="J1700" s="655">
        <v>22</v>
      </c>
      <c r="K1700" s="655">
        <v>2</v>
      </c>
      <c r="L1700" s="656" t="s">
        <v>52</v>
      </c>
      <c r="M1700" s="656" t="s">
        <v>448</v>
      </c>
      <c r="N1700" s="656" t="s">
        <v>449</v>
      </c>
      <c r="O1700" s="656" t="s">
        <v>449</v>
      </c>
      <c r="P1700" s="656" t="s">
        <v>1176</v>
      </c>
      <c r="Q1700" s="657">
        <v>0</v>
      </c>
      <c r="R1700" s="657">
        <v>0</v>
      </c>
      <c r="S1700" s="657">
        <v>49688</v>
      </c>
      <c r="T1700" s="657">
        <v>49688</v>
      </c>
      <c r="U1700" s="657">
        <v>5619</v>
      </c>
      <c r="V1700" s="655">
        <v>2021</v>
      </c>
      <c r="W1700" s="659"/>
      <c r="X1700" s="660">
        <f t="shared" si="80"/>
        <v>8.8428546004627151</v>
      </c>
      <c r="Y1700" s="661" t="str">
        <f t="shared" si="78"/>
        <v/>
      </c>
      <c r="Z1700" s="661" t="str">
        <f t="shared" si="79"/>
        <v/>
      </c>
    </row>
    <row r="1701" spans="1:26" s="128" customFormat="1" hidden="1">
      <c r="A1701" s="655">
        <v>61604</v>
      </c>
      <c r="B1701" s="656" t="s">
        <v>33</v>
      </c>
      <c r="C1701" s="655" t="s">
        <v>2793</v>
      </c>
      <c r="D1701" s="656" t="s">
        <v>2241</v>
      </c>
      <c r="E1701" s="656" t="s">
        <v>3139</v>
      </c>
      <c r="F1701" s="655">
        <v>60571</v>
      </c>
      <c r="G1701" s="656" t="s">
        <v>57</v>
      </c>
      <c r="H1701" s="656" t="s">
        <v>1182</v>
      </c>
      <c r="I1701" s="656" t="s">
        <v>58</v>
      </c>
      <c r="J1701" s="655">
        <v>22</v>
      </c>
      <c r="K1701" s="655">
        <v>2</v>
      </c>
      <c r="L1701" s="656" t="s">
        <v>52</v>
      </c>
      <c r="M1701" s="656" t="s">
        <v>448</v>
      </c>
      <c r="N1701" s="656" t="s">
        <v>449</v>
      </c>
      <c r="O1701" s="656" t="s">
        <v>449</v>
      </c>
      <c r="P1701" s="656" t="s">
        <v>1176</v>
      </c>
      <c r="Q1701" s="657">
        <v>0</v>
      </c>
      <c r="R1701" s="657">
        <v>0</v>
      </c>
      <c r="S1701" s="657">
        <v>22929</v>
      </c>
      <c r="T1701" s="657">
        <v>22929</v>
      </c>
      <c r="U1701" s="657">
        <v>2593</v>
      </c>
      <c r="V1701" s="655">
        <v>2021</v>
      </c>
      <c r="W1701" s="659"/>
      <c r="X1701" s="660">
        <f t="shared" si="80"/>
        <v>8.8426532973389893</v>
      </c>
      <c r="Y1701" s="661" t="str">
        <f t="shared" si="78"/>
        <v/>
      </c>
      <c r="Z1701" s="661" t="str">
        <f t="shared" si="79"/>
        <v/>
      </c>
    </row>
    <row r="1702" spans="1:26" s="128" customFormat="1" ht="25" hidden="1">
      <c r="A1702" s="655">
        <v>61612</v>
      </c>
      <c r="B1702" s="656" t="s">
        <v>33</v>
      </c>
      <c r="C1702" s="655" t="s">
        <v>2793</v>
      </c>
      <c r="D1702" s="656" t="s">
        <v>2242</v>
      </c>
      <c r="E1702" s="656" t="s">
        <v>2243</v>
      </c>
      <c r="F1702" s="655">
        <v>61216</v>
      </c>
      <c r="G1702" s="656" t="s">
        <v>131</v>
      </c>
      <c r="H1702" s="656" t="s">
        <v>1183</v>
      </c>
      <c r="I1702" s="656" t="s">
        <v>58</v>
      </c>
      <c r="J1702" s="655">
        <v>22</v>
      </c>
      <c r="K1702" s="655">
        <v>2</v>
      </c>
      <c r="L1702" s="656" t="s">
        <v>52</v>
      </c>
      <c r="M1702" s="656" t="s">
        <v>448</v>
      </c>
      <c r="N1702" s="656" t="s">
        <v>449</v>
      </c>
      <c r="O1702" s="656" t="s">
        <v>449</v>
      </c>
      <c r="P1702" s="656" t="s">
        <v>1176</v>
      </c>
      <c r="Q1702" s="657">
        <v>0</v>
      </c>
      <c r="R1702" s="657">
        <v>0</v>
      </c>
      <c r="S1702" s="657">
        <v>19455</v>
      </c>
      <c r="T1702" s="657">
        <v>19455</v>
      </c>
      <c r="U1702" s="657">
        <v>2200</v>
      </c>
      <c r="V1702" s="655">
        <v>2021</v>
      </c>
      <c r="W1702" s="659"/>
      <c r="X1702" s="660">
        <f t="shared" si="80"/>
        <v>8.8431818181818187</v>
      </c>
      <c r="Y1702" s="661" t="str">
        <f t="shared" si="78"/>
        <v/>
      </c>
      <c r="Z1702" s="661" t="str">
        <f t="shared" si="79"/>
        <v/>
      </c>
    </row>
    <row r="1703" spans="1:26" s="128" customFormat="1" hidden="1">
      <c r="A1703" s="655">
        <v>61613</v>
      </c>
      <c r="B1703" s="656" t="s">
        <v>33</v>
      </c>
      <c r="C1703" s="655" t="s">
        <v>2793</v>
      </c>
      <c r="D1703" s="656" t="s">
        <v>2244</v>
      </c>
      <c r="E1703" s="656" t="s">
        <v>2245</v>
      </c>
      <c r="F1703" s="655">
        <v>61217</v>
      </c>
      <c r="G1703" s="656" t="s">
        <v>131</v>
      </c>
      <c r="H1703" s="656" t="s">
        <v>1183</v>
      </c>
      <c r="I1703" s="656" t="s">
        <v>58</v>
      </c>
      <c r="J1703" s="655">
        <v>22</v>
      </c>
      <c r="K1703" s="655">
        <v>2</v>
      </c>
      <c r="L1703" s="656" t="s">
        <v>52</v>
      </c>
      <c r="M1703" s="656" t="s">
        <v>448</v>
      </c>
      <c r="N1703" s="656" t="s">
        <v>449</v>
      </c>
      <c r="O1703" s="656" t="s">
        <v>449</v>
      </c>
      <c r="P1703" s="656" t="s">
        <v>1176</v>
      </c>
      <c r="Q1703" s="657">
        <v>0</v>
      </c>
      <c r="R1703" s="657">
        <v>0</v>
      </c>
      <c r="S1703" s="657">
        <v>26617</v>
      </c>
      <c r="T1703" s="657">
        <v>26617</v>
      </c>
      <c r="U1703" s="657">
        <v>3010</v>
      </c>
      <c r="V1703" s="655">
        <v>2021</v>
      </c>
      <c r="W1703" s="659"/>
      <c r="X1703" s="660">
        <f t="shared" si="80"/>
        <v>8.8428571428571434</v>
      </c>
      <c r="Y1703" s="661" t="str">
        <f t="shared" si="78"/>
        <v/>
      </c>
      <c r="Z1703" s="661" t="str">
        <f t="shared" si="79"/>
        <v/>
      </c>
    </row>
    <row r="1704" spans="1:26" s="128" customFormat="1" ht="25" hidden="1">
      <c r="A1704" s="655">
        <v>61622</v>
      </c>
      <c r="B1704" s="656" t="s">
        <v>33</v>
      </c>
      <c r="C1704" s="655" t="s">
        <v>2793</v>
      </c>
      <c r="D1704" s="656" t="s">
        <v>2246</v>
      </c>
      <c r="E1704" s="656" t="s">
        <v>2243</v>
      </c>
      <c r="F1704" s="655">
        <v>61216</v>
      </c>
      <c r="G1704" s="656" t="s">
        <v>131</v>
      </c>
      <c r="H1704" s="656" t="s">
        <v>1183</v>
      </c>
      <c r="I1704" s="656" t="s">
        <v>58</v>
      </c>
      <c r="J1704" s="655">
        <v>22</v>
      </c>
      <c r="K1704" s="655">
        <v>2</v>
      </c>
      <c r="L1704" s="656" t="s">
        <v>52</v>
      </c>
      <c r="M1704" s="656" t="s">
        <v>448</v>
      </c>
      <c r="N1704" s="656" t="s">
        <v>449</v>
      </c>
      <c r="O1704" s="656" t="s">
        <v>449</v>
      </c>
      <c r="P1704" s="656" t="s">
        <v>1176</v>
      </c>
      <c r="Q1704" s="657">
        <v>0</v>
      </c>
      <c r="R1704" s="657">
        <v>0</v>
      </c>
      <c r="S1704" s="657">
        <v>42606</v>
      </c>
      <c r="T1704" s="657">
        <v>42606</v>
      </c>
      <c r="U1704" s="657">
        <v>4818</v>
      </c>
      <c r="V1704" s="655">
        <v>2021</v>
      </c>
      <c r="W1704" s="659"/>
      <c r="X1704" s="660">
        <f t="shared" si="80"/>
        <v>8.8430884184308844</v>
      </c>
      <c r="Y1704" s="661" t="str">
        <f t="shared" si="78"/>
        <v/>
      </c>
      <c r="Z1704" s="661" t="str">
        <f t="shared" si="79"/>
        <v/>
      </c>
    </row>
    <row r="1705" spans="1:26" s="128" customFormat="1" ht="25">
      <c r="A1705" s="655">
        <v>61629</v>
      </c>
      <c r="B1705" s="656" t="s">
        <v>33</v>
      </c>
      <c r="C1705" s="655" t="s">
        <v>2793</v>
      </c>
      <c r="D1705" s="656" t="s">
        <v>3383</v>
      </c>
      <c r="E1705" s="656" t="s">
        <v>2247</v>
      </c>
      <c r="F1705" s="655">
        <v>61227</v>
      </c>
      <c r="G1705" s="656" t="s">
        <v>81</v>
      </c>
      <c r="H1705" s="656" t="s">
        <v>1183</v>
      </c>
      <c r="I1705" s="656" t="s">
        <v>58</v>
      </c>
      <c r="J1705" s="655">
        <v>22</v>
      </c>
      <c r="K1705" s="655">
        <v>2</v>
      </c>
      <c r="L1705" s="656" t="s">
        <v>52</v>
      </c>
      <c r="M1705" s="656" t="s">
        <v>448</v>
      </c>
      <c r="N1705" s="656" t="s">
        <v>449</v>
      </c>
      <c r="O1705" s="656" t="s">
        <v>449</v>
      </c>
      <c r="P1705" s="656" t="s">
        <v>1176</v>
      </c>
      <c r="Q1705" s="657">
        <v>0</v>
      </c>
      <c r="R1705" s="657">
        <v>0</v>
      </c>
      <c r="S1705" s="657">
        <v>54967</v>
      </c>
      <c r="T1705" s="657">
        <v>54967</v>
      </c>
      <c r="U1705" s="657">
        <v>6216</v>
      </c>
      <c r="V1705" s="655">
        <v>2021</v>
      </c>
      <c r="W1705" s="659"/>
      <c r="X1705" s="660">
        <f t="shared" si="80"/>
        <v>8.8428249678249671</v>
      </c>
      <c r="Y1705" s="661" t="str">
        <f t="shared" si="78"/>
        <v/>
      </c>
      <c r="Z1705" s="661" t="str">
        <f t="shared" si="79"/>
        <v/>
      </c>
    </row>
    <row r="1706" spans="1:26" s="128" customFormat="1" ht="25">
      <c r="A1706" s="655">
        <v>61633</v>
      </c>
      <c r="B1706" s="656" t="s">
        <v>33</v>
      </c>
      <c r="C1706" s="655" t="s">
        <v>2793</v>
      </c>
      <c r="D1706" s="656" t="s">
        <v>2829</v>
      </c>
      <c r="E1706" s="656" t="s">
        <v>3384</v>
      </c>
      <c r="F1706" s="655">
        <v>64665</v>
      </c>
      <c r="G1706" s="656" t="s">
        <v>81</v>
      </c>
      <c r="H1706" s="656" t="s">
        <v>1183</v>
      </c>
      <c r="I1706" s="656" t="s">
        <v>58</v>
      </c>
      <c r="J1706" s="655">
        <v>22</v>
      </c>
      <c r="K1706" s="655">
        <v>2</v>
      </c>
      <c r="L1706" s="656" t="s">
        <v>52</v>
      </c>
      <c r="M1706" s="656" t="s">
        <v>448</v>
      </c>
      <c r="N1706" s="656" t="s">
        <v>449</v>
      </c>
      <c r="O1706" s="656" t="s">
        <v>449</v>
      </c>
      <c r="P1706" s="656" t="s">
        <v>1176</v>
      </c>
      <c r="Q1706" s="657">
        <v>0</v>
      </c>
      <c r="R1706" s="657">
        <v>0</v>
      </c>
      <c r="S1706" s="657">
        <v>12716</v>
      </c>
      <c r="T1706" s="657">
        <v>12716</v>
      </c>
      <c r="U1706" s="657">
        <v>1438</v>
      </c>
      <c r="V1706" s="655">
        <v>2021</v>
      </c>
      <c r="W1706" s="659"/>
      <c r="X1706" s="660">
        <f t="shared" si="80"/>
        <v>8.8428372739916554</v>
      </c>
      <c r="Y1706" s="661" t="str">
        <f t="shared" si="78"/>
        <v/>
      </c>
      <c r="Z1706" s="661" t="str">
        <f t="shared" si="79"/>
        <v/>
      </c>
    </row>
    <row r="1707" spans="1:26" s="128" customFormat="1">
      <c r="A1707" s="655">
        <v>61634</v>
      </c>
      <c r="B1707" s="656" t="s">
        <v>33</v>
      </c>
      <c r="C1707" s="655" t="s">
        <v>2793</v>
      </c>
      <c r="D1707" s="656" t="s">
        <v>2830</v>
      </c>
      <c r="E1707" s="656" t="s">
        <v>3385</v>
      </c>
      <c r="F1707" s="655">
        <v>64630</v>
      </c>
      <c r="G1707" s="656" t="s">
        <v>81</v>
      </c>
      <c r="H1707" s="656" t="s">
        <v>1183</v>
      </c>
      <c r="I1707" s="656" t="s">
        <v>58</v>
      </c>
      <c r="J1707" s="655">
        <v>22</v>
      </c>
      <c r="K1707" s="655">
        <v>2</v>
      </c>
      <c r="L1707" s="656" t="s">
        <v>52</v>
      </c>
      <c r="M1707" s="656" t="s">
        <v>448</v>
      </c>
      <c r="N1707" s="656" t="s">
        <v>449</v>
      </c>
      <c r="O1707" s="656" t="s">
        <v>449</v>
      </c>
      <c r="P1707" s="656" t="s">
        <v>1176</v>
      </c>
      <c r="Q1707" s="657">
        <v>0</v>
      </c>
      <c r="R1707" s="657">
        <v>0</v>
      </c>
      <c r="S1707" s="657">
        <v>75856</v>
      </c>
      <c r="T1707" s="657">
        <v>75856</v>
      </c>
      <c r="U1707" s="657">
        <v>8578</v>
      </c>
      <c r="V1707" s="655">
        <v>2021</v>
      </c>
      <c r="W1707" s="659"/>
      <c r="X1707" s="660">
        <f t="shared" si="80"/>
        <v>8.8430869666588947</v>
      </c>
      <c r="Y1707" s="661" t="str">
        <f t="shared" si="78"/>
        <v/>
      </c>
      <c r="Z1707" s="661" t="str">
        <f t="shared" si="79"/>
        <v/>
      </c>
    </row>
    <row r="1708" spans="1:26" s="128" customFormat="1">
      <c r="A1708" s="655">
        <v>61635</v>
      </c>
      <c r="B1708" s="656" t="s">
        <v>33</v>
      </c>
      <c r="C1708" s="655" t="s">
        <v>2793</v>
      </c>
      <c r="D1708" s="656" t="s">
        <v>2831</v>
      </c>
      <c r="E1708" s="656" t="s">
        <v>3386</v>
      </c>
      <c r="F1708" s="655">
        <v>64664</v>
      </c>
      <c r="G1708" s="656" t="s">
        <v>81</v>
      </c>
      <c r="H1708" s="656" t="s">
        <v>1183</v>
      </c>
      <c r="I1708" s="656" t="s">
        <v>58</v>
      </c>
      <c r="J1708" s="655">
        <v>22</v>
      </c>
      <c r="K1708" s="655">
        <v>2</v>
      </c>
      <c r="L1708" s="656" t="s">
        <v>52</v>
      </c>
      <c r="M1708" s="656" t="s">
        <v>448</v>
      </c>
      <c r="N1708" s="656" t="s">
        <v>449</v>
      </c>
      <c r="O1708" s="656" t="s">
        <v>449</v>
      </c>
      <c r="P1708" s="656" t="s">
        <v>1176</v>
      </c>
      <c r="Q1708" s="657">
        <v>0</v>
      </c>
      <c r="R1708" s="657">
        <v>0</v>
      </c>
      <c r="S1708" s="657">
        <v>27023</v>
      </c>
      <c r="T1708" s="657">
        <v>27023</v>
      </c>
      <c r="U1708" s="657">
        <v>3056</v>
      </c>
      <c r="V1708" s="655">
        <v>2021</v>
      </c>
      <c r="W1708" s="659"/>
      <c r="X1708" s="660">
        <f t="shared" si="80"/>
        <v>8.8426047120418847</v>
      </c>
      <c r="Y1708" s="661" t="str">
        <f t="shared" si="78"/>
        <v/>
      </c>
      <c r="Z1708" s="661" t="str">
        <f t="shared" si="79"/>
        <v/>
      </c>
    </row>
    <row r="1709" spans="1:26" s="128" customFormat="1">
      <c r="A1709" s="655">
        <v>61636</v>
      </c>
      <c r="B1709" s="656" t="s">
        <v>33</v>
      </c>
      <c r="C1709" s="655" t="s">
        <v>2793</v>
      </c>
      <c r="D1709" s="656" t="s">
        <v>2832</v>
      </c>
      <c r="E1709" s="656" t="s">
        <v>3387</v>
      </c>
      <c r="F1709" s="655">
        <v>64666</v>
      </c>
      <c r="G1709" s="656" t="s">
        <v>81</v>
      </c>
      <c r="H1709" s="656" t="s">
        <v>1183</v>
      </c>
      <c r="I1709" s="656" t="s">
        <v>58</v>
      </c>
      <c r="J1709" s="655">
        <v>22</v>
      </c>
      <c r="K1709" s="655">
        <v>2</v>
      </c>
      <c r="L1709" s="656" t="s">
        <v>52</v>
      </c>
      <c r="M1709" s="656" t="s">
        <v>448</v>
      </c>
      <c r="N1709" s="656" t="s">
        <v>449</v>
      </c>
      <c r="O1709" s="656" t="s">
        <v>449</v>
      </c>
      <c r="P1709" s="656" t="s">
        <v>1176</v>
      </c>
      <c r="Q1709" s="657">
        <v>0</v>
      </c>
      <c r="R1709" s="657">
        <v>0</v>
      </c>
      <c r="S1709" s="657">
        <v>73796</v>
      </c>
      <c r="T1709" s="657">
        <v>73796</v>
      </c>
      <c r="U1709" s="657">
        <v>8345</v>
      </c>
      <c r="V1709" s="655">
        <v>2021</v>
      </c>
      <c r="W1709" s="659"/>
      <c r="X1709" s="660">
        <f t="shared" si="80"/>
        <v>8.8431396045536257</v>
      </c>
      <c r="Y1709" s="661" t="str">
        <f t="shared" si="78"/>
        <v/>
      </c>
      <c r="Z1709" s="661" t="str">
        <f t="shared" si="79"/>
        <v/>
      </c>
    </row>
    <row r="1710" spans="1:26" s="128" customFormat="1">
      <c r="A1710" s="655">
        <v>61640</v>
      </c>
      <c r="B1710" s="656" t="s">
        <v>33</v>
      </c>
      <c r="C1710" s="655" t="s">
        <v>2793</v>
      </c>
      <c r="D1710" s="656" t="s">
        <v>2248</v>
      </c>
      <c r="E1710" s="656" t="s">
        <v>2249</v>
      </c>
      <c r="F1710" s="655">
        <v>61253</v>
      </c>
      <c r="G1710" s="656" t="s">
        <v>81</v>
      </c>
      <c r="H1710" s="656" t="s">
        <v>1183</v>
      </c>
      <c r="I1710" s="656" t="s">
        <v>58</v>
      </c>
      <c r="J1710" s="655">
        <v>22</v>
      </c>
      <c r="K1710" s="655">
        <v>2</v>
      </c>
      <c r="L1710" s="656" t="s">
        <v>52</v>
      </c>
      <c r="M1710" s="656" t="s">
        <v>35</v>
      </c>
      <c r="N1710" s="656" t="s">
        <v>36</v>
      </c>
      <c r="O1710" s="656" t="s">
        <v>37</v>
      </c>
      <c r="P1710" s="656" t="s">
        <v>1176</v>
      </c>
      <c r="Q1710" s="657">
        <v>0</v>
      </c>
      <c r="R1710" s="657">
        <v>0</v>
      </c>
      <c r="S1710" s="657">
        <v>57294</v>
      </c>
      <c r="T1710" s="657">
        <v>57294</v>
      </c>
      <c r="U1710" s="657">
        <v>6479</v>
      </c>
      <c r="V1710" s="655">
        <v>2021</v>
      </c>
      <c r="W1710" s="659"/>
      <c r="X1710" s="660">
        <f t="shared" si="80"/>
        <v>8.8430313319956788</v>
      </c>
      <c r="Y1710" s="661" t="str">
        <f t="shared" si="78"/>
        <v/>
      </c>
      <c r="Z1710" s="661" t="str">
        <f t="shared" si="79"/>
        <v/>
      </c>
    </row>
    <row r="1711" spans="1:26" s="128" customFormat="1" ht="25" hidden="1">
      <c r="A1711" s="655">
        <v>61641</v>
      </c>
      <c r="B1711" s="656" t="s">
        <v>33</v>
      </c>
      <c r="C1711" s="655" t="s">
        <v>2793</v>
      </c>
      <c r="D1711" s="656" t="s">
        <v>2250</v>
      </c>
      <c r="E1711" s="656" t="s">
        <v>2251</v>
      </c>
      <c r="F1711" s="655">
        <v>61252</v>
      </c>
      <c r="G1711" s="656" t="s">
        <v>57</v>
      </c>
      <c r="H1711" s="656" t="s">
        <v>1182</v>
      </c>
      <c r="I1711" s="656" t="s">
        <v>58</v>
      </c>
      <c r="J1711" s="655">
        <v>22</v>
      </c>
      <c r="K1711" s="655">
        <v>2</v>
      </c>
      <c r="L1711" s="656" t="s">
        <v>52</v>
      </c>
      <c r="M1711" s="656" t="s">
        <v>35</v>
      </c>
      <c r="N1711" s="656" t="s">
        <v>36</v>
      </c>
      <c r="O1711" s="656" t="s">
        <v>37</v>
      </c>
      <c r="P1711" s="656" t="s">
        <v>1176</v>
      </c>
      <c r="Q1711" s="657">
        <v>0</v>
      </c>
      <c r="R1711" s="657">
        <v>0</v>
      </c>
      <c r="S1711" s="657">
        <v>129240</v>
      </c>
      <c r="T1711" s="657">
        <v>129240</v>
      </c>
      <c r="U1711" s="657">
        <v>14615</v>
      </c>
      <c r="V1711" s="655">
        <v>2021</v>
      </c>
      <c r="W1711" s="659"/>
      <c r="X1711" s="660">
        <f t="shared" si="80"/>
        <v>8.8429695518303113</v>
      </c>
      <c r="Y1711" s="661" t="str">
        <f t="shared" si="78"/>
        <v/>
      </c>
      <c r="Z1711" s="661" t="str">
        <f t="shared" si="79"/>
        <v/>
      </c>
    </row>
    <row r="1712" spans="1:26" s="128" customFormat="1" ht="25" hidden="1">
      <c r="A1712" s="655">
        <v>61642</v>
      </c>
      <c r="B1712" s="656" t="s">
        <v>33</v>
      </c>
      <c r="C1712" s="655" t="s">
        <v>2793</v>
      </c>
      <c r="D1712" s="656" t="s">
        <v>2252</v>
      </c>
      <c r="E1712" s="656" t="s">
        <v>2251</v>
      </c>
      <c r="F1712" s="655">
        <v>61252</v>
      </c>
      <c r="G1712" s="656" t="s">
        <v>57</v>
      </c>
      <c r="H1712" s="656" t="s">
        <v>1182</v>
      </c>
      <c r="I1712" s="656" t="s">
        <v>58</v>
      </c>
      <c r="J1712" s="655">
        <v>22</v>
      </c>
      <c r="K1712" s="655">
        <v>2</v>
      </c>
      <c r="L1712" s="656" t="s">
        <v>52</v>
      </c>
      <c r="M1712" s="656" t="s">
        <v>35</v>
      </c>
      <c r="N1712" s="656" t="s">
        <v>36</v>
      </c>
      <c r="O1712" s="656" t="s">
        <v>37</v>
      </c>
      <c r="P1712" s="656" t="s">
        <v>1176</v>
      </c>
      <c r="Q1712" s="657">
        <v>0</v>
      </c>
      <c r="R1712" s="657">
        <v>0</v>
      </c>
      <c r="S1712" s="657">
        <v>49857</v>
      </c>
      <c r="T1712" s="657">
        <v>49857</v>
      </c>
      <c r="U1712" s="657">
        <v>5638</v>
      </c>
      <c r="V1712" s="655">
        <v>2021</v>
      </c>
      <c r="W1712" s="659"/>
      <c r="X1712" s="660">
        <f t="shared" si="80"/>
        <v>8.8430294430649159</v>
      </c>
      <c r="Y1712" s="661" t="str">
        <f t="shared" si="78"/>
        <v/>
      </c>
      <c r="Z1712" s="661" t="str">
        <f t="shared" si="79"/>
        <v/>
      </c>
    </row>
    <row r="1713" spans="1:26" s="128" customFormat="1" ht="25" hidden="1">
      <c r="A1713" s="655">
        <v>61673</v>
      </c>
      <c r="B1713" s="656" t="s">
        <v>33</v>
      </c>
      <c r="C1713" s="655" t="s">
        <v>2793</v>
      </c>
      <c r="D1713" s="656" t="s">
        <v>2372</v>
      </c>
      <c r="E1713" s="656" t="s">
        <v>2372</v>
      </c>
      <c r="F1713" s="655">
        <v>58261</v>
      </c>
      <c r="G1713" s="656" t="s">
        <v>57</v>
      </c>
      <c r="H1713" s="656" t="s">
        <v>1182</v>
      </c>
      <c r="I1713" s="656" t="s">
        <v>58</v>
      </c>
      <c r="J1713" s="655">
        <v>22</v>
      </c>
      <c r="K1713" s="655">
        <v>2</v>
      </c>
      <c r="L1713" s="656" t="s">
        <v>52</v>
      </c>
      <c r="M1713" s="656" t="s">
        <v>71</v>
      </c>
      <c r="N1713" s="656" t="s">
        <v>72</v>
      </c>
      <c r="O1713" s="656" t="s">
        <v>72</v>
      </c>
      <c r="P1713" s="656" t="s">
        <v>1176</v>
      </c>
      <c r="Q1713" s="657">
        <v>0</v>
      </c>
      <c r="R1713" s="657">
        <v>0</v>
      </c>
      <c r="S1713" s="657">
        <v>2065009</v>
      </c>
      <c r="T1713" s="657">
        <v>2065009</v>
      </c>
      <c r="U1713" s="657">
        <v>233519</v>
      </c>
      <c r="V1713" s="655">
        <v>2021</v>
      </c>
      <c r="W1713" s="659"/>
      <c r="X1713" s="660">
        <f t="shared" si="80"/>
        <v>8.8430020683541812</v>
      </c>
      <c r="Y1713" s="661" t="str">
        <f t="shared" si="78"/>
        <v/>
      </c>
      <c r="Z1713" s="661" t="str">
        <f t="shared" si="79"/>
        <v/>
      </c>
    </row>
    <row r="1714" spans="1:26" s="128" customFormat="1" ht="25">
      <c r="A1714" s="655">
        <v>61702</v>
      </c>
      <c r="B1714" s="656" t="s">
        <v>33</v>
      </c>
      <c r="C1714" s="655" t="s">
        <v>2793</v>
      </c>
      <c r="D1714" s="656" t="s">
        <v>2373</v>
      </c>
      <c r="E1714" s="656" t="s">
        <v>2374</v>
      </c>
      <c r="F1714" s="655">
        <v>61335</v>
      </c>
      <c r="G1714" s="656" t="s">
        <v>81</v>
      </c>
      <c r="H1714" s="656" t="s">
        <v>1183</v>
      </c>
      <c r="I1714" s="656" t="s">
        <v>58</v>
      </c>
      <c r="J1714" s="655">
        <v>22</v>
      </c>
      <c r="K1714" s="655">
        <v>2</v>
      </c>
      <c r="L1714" s="656" t="s">
        <v>52</v>
      </c>
      <c r="M1714" s="656" t="s">
        <v>51</v>
      </c>
      <c r="N1714" s="656" t="s">
        <v>63</v>
      </c>
      <c r="O1714" s="656" t="s">
        <v>64</v>
      </c>
      <c r="P1714" s="656" t="s">
        <v>1037</v>
      </c>
      <c r="Q1714" s="657">
        <v>445733</v>
      </c>
      <c r="R1714" s="657">
        <v>445733</v>
      </c>
      <c r="S1714" s="657">
        <v>225541</v>
      </c>
      <c r="T1714" s="657">
        <v>225541</v>
      </c>
      <c r="U1714" s="657">
        <v>17236</v>
      </c>
      <c r="V1714" s="655">
        <v>2021</v>
      </c>
      <c r="W1714" s="659"/>
      <c r="X1714" s="660">
        <f t="shared" si="80"/>
        <v>13.085460663727083</v>
      </c>
      <c r="Y1714" s="661" t="str">
        <f t="shared" si="78"/>
        <v/>
      </c>
      <c r="Z1714" s="661" t="str">
        <f t="shared" si="79"/>
        <v/>
      </c>
    </row>
    <row r="1715" spans="1:26" s="128" customFormat="1" ht="25" hidden="1">
      <c r="A1715" s="655">
        <v>61703</v>
      </c>
      <c r="B1715" s="656" t="s">
        <v>54</v>
      </c>
      <c r="C1715" s="655" t="s">
        <v>2793</v>
      </c>
      <c r="D1715" s="656" t="s">
        <v>2253</v>
      </c>
      <c r="E1715" s="656" t="s">
        <v>2254</v>
      </c>
      <c r="F1715" s="655">
        <v>61332</v>
      </c>
      <c r="G1715" s="656" t="s">
        <v>41</v>
      </c>
      <c r="H1715" s="656" t="s">
        <v>1183</v>
      </c>
      <c r="I1715" s="656" t="s">
        <v>58</v>
      </c>
      <c r="J1715" s="655">
        <v>336</v>
      </c>
      <c r="K1715" s="655">
        <v>7</v>
      </c>
      <c r="L1715" s="656" t="s">
        <v>409</v>
      </c>
      <c r="M1715" s="656" t="s">
        <v>50</v>
      </c>
      <c r="N1715" s="656" t="s">
        <v>46</v>
      </c>
      <c r="O1715" s="656" t="s">
        <v>46</v>
      </c>
      <c r="P1715" s="656" t="s">
        <v>47</v>
      </c>
      <c r="Q1715" s="657">
        <v>7</v>
      </c>
      <c r="R1715" s="657">
        <v>6</v>
      </c>
      <c r="S1715" s="657">
        <v>40</v>
      </c>
      <c r="T1715" s="657">
        <v>37</v>
      </c>
      <c r="U1715" s="657">
        <v>3.2109999999999999</v>
      </c>
      <c r="V1715" s="655">
        <v>2021</v>
      </c>
      <c r="W1715" s="659"/>
      <c r="X1715" s="660" t="str">
        <f t="shared" si="80"/>
        <v/>
      </c>
      <c r="Y1715" s="661" t="str">
        <f t="shared" si="78"/>
        <v/>
      </c>
      <c r="Z1715" s="661">
        <f t="shared" si="79"/>
        <v>5.7672122449450391</v>
      </c>
    </row>
    <row r="1716" spans="1:26" s="128" customFormat="1" ht="25" hidden="1">
      <c r="A1716" s="655">
        <v>61703</v>
      </c>
      <c r="B1716" s="656" t="s">
        <v>54</v>
      </c>
      <c r="C1716" s="655" t="s">
        <v>2793</v>
      </c>
      <c r="D1716" s="656" t="s">
        <v>2253</v>
      </c>
      <c r="E1716" s="656" t="s">
        <v>2254</v>
      </c>
      <c r="F1716" s="655">
        <v>61332</v>
      </c>
      <c r="G1716" s="656" t="s">
        <v>41</v>
      </c>
      <c r="H1716" s="656" t="s">
        <v>1183</v>
      </c>
      <c r="I1716" s="656" t="s">
        <v>58</v>
      </c>
      <c r="J1716" s="655">
        <v>336</v>
      </c>
      <c r="K1716" s="655">
        <v>7</v>
      </c>
      <c r="L1716" s="656" t="s">
        <v>409</v>
      </c>
      <c r="M1716" s="656" t="s">
        <v>50</v>
      </c>
      <c r="N1716" s="656" t="s">
        <v>39</v>
      </c>
      <c r="O1716" s="656" t="s">
        <v>39</v>
      </c>
      <c r="P1716" s="656" t="s">
        <v>1037</v>
      </c>
      <c r="Q1716" s="657">
        <v>868932</v>
      </c>
      <c r="R1716" s="657">
        <v>802889</v>
      </c>
      <c r="S1716" s="657">
        <v>895000</v>
      </c>
      <c r="T1716" s="657">
        <v>826976</v>
      </c>
      <c r="U1716" s="657">
        <v>71407.789000000004</v>
      </c>
      <c r="V1716" s="655">
        <v>2021</v>
      </c>
      <c r="W1716" s="659"/>
      <c r="X1716" s="660" t="str">
        <f t="shared" si="80"/>
        <v/>
      </c>
      <c r="Y1716" s="661">
        <f t="shared" si="78"/>
        <v>5.8026142197436181</v>
      </c>
      <c r="Z1716" s="661" t="str">
        <f t="shared" si="79"/>
        <v/>
      </c>
    </row>
    <row r="1717" spans="1:26" s="128" customFormat="1" ht="25" hidden="1">
      <c r="A1717" s="655">
        <v>61703</v>
      </c>
      <c r="B1717" s="656" t="s">
        <v>54</v>
      </c>
      <c r="C1717" s="655" t="s">
        <v>2793</v>
      </c>
      <c r="D1717" s="656" t="s">
        <v>2253</v>
      </c>
      <c r="E1717" s="656" t="s">
        <v>2254</v>
      </c>
      <c r="F1717" s="655">
        <v>61332</v>
      </c>
      <c r="G1717" s="656" t="s">
        <v>41</v>
      </c>
      <c r="H1717" s="656" t="s">
        <v>1183</v>
      </c>
      <c r="I1717" s="656" t="s">
        <v>58</v>
      </c>
      <c r="J1717" s="655">
        <v>336</v>
      </c>
      <c r="K1717" s="655">
        <v>7</v>
      </c>
      <c r="L1717" s="656" t="s">
        <v>409</v>
      </c>
      <c r="M1717" s="656" t="s">
        <v>448</v>
      </c>
      <c r="N1717" s="656" t="s">
        <v>449</v>
      </c>
      <c r="O1717" s="656" t="s">
        <v>449</v>
      </c>
      <c r="P1717" s="656" t="s">
        <v>1176</v>
      </c>
      <c r="Q1717" s="657">
        <v>0</v>
      </c>
      <c r="R1717" s="657">
        <v>0</v>
      </c>
      <c r="S1717" s="657">
        <v>973</v>
      </c>
      <c r="T1717" s="657">
        <v>973</v>
      </c>
      <c r="U1717" s="657">
        <v>110</v>
      </c>
      <c r="V1717" s="655">
        <v>2021</v>
      </c>
      <c r="W1717" s="659"/>
      <c r="X1717" s="660" t="str">
        <f t="shared" si="80"/>
        <v/>
      </c>
      <c r="Y1717" s="661" t="str">
        <f t="shared" si="78"/>
        <v/>
      </c>
      <c r="Z1717" s="661" t="str">
        <f t="shared" si="79"/>
        <v/>
      </c>
    </row>
    <row r="1718" spans="1:26" s="128" customFormat="1" hidden="1">
      <c r="A1718" s="655">
        <v>61717</v>
      </c>
      <c r="B1718" s="656" t="s">
        <v>33</v>
      </c>
      <c r="C1718" s="655" t="s">
        <v>2793</v>
      </c>
      <c r="D1718" s="656" t="s">
        <v>2255</v>
      </c>
      <c r="E1718" s="656" t="s">
        <v>2256</v>
      </c>
      <c r="F1718" s="655">
        <v>61347</v>
      </c>
      <c r="G1718" s="656" t="s">
        <v>57</v>
      </c>
      <c r="H1718" s="656" t="s">
        <v>1182</v>
      </c>
      <c r="I1718" s="656" t="s">
        <v>58</v>
      </c>
      <c r="J1718" s="655">
        <v>22</v>
      </c>
      <c r="K1718" s="655">
        <v>2</v>
      </c>
      <c r="L1718" s="656" t="s">
        <v>52</v>
      </c>
      <c r="M1718" s="656" t="s">
        <v>448</v>
      </c>
      <c r="N1718" s="656" t="s">
        <v>449</v>
      </c>
      <c r="O1718" s="656" t="s">
        <v>449</v>
      </c>
      <c r="P1718" s="656" t="s">
        <v>1176</v>
      </c>
      <c r="Q1718" s="657">
        <v>0</v>
      </c>
      <c r="R1718" s="657">
        <v>0</v>
      </c>
      <c r="S1718" s="657">
        <v>15386</v>
      </c>
      <c r="T1718" s="657">
        <v>15386</v>
      </c>
      <c r="U1718" s="657">
        <v>1740</v>
      </c>
      <c r="V1718" s="655">
        <v>2021</v>
      </c>
      <c r="W1718" s="659"/>
      <c r="X1718" s="660">
        <f t="shared" si="80"/>
        <v>8.8425287356321842</v>
      </c>
      <c r="Y1718" s="661" t="str">
        <f t="shared" si="78"/>
        <v/>
      </c>
      <c r="Z1718" s="661" t="str">
        <f t="shared" si="79"/>
        <v/>
      </c>
    </row>
    <row r="1719" spans="1:26" s="128" customFormat="1" hidden="1">
      <c r="A1719" s="655">
        <v>61719</v>
      </c>
      <c r="B1719" s="656" t="s">
        <v>33</v>
      </c>
      <c r="C1719" s="655" t="s">
        <v>2793</v>
      </c>
      <c r="D1719" s="656" t="s">
        <v>2375</v>
      </c>
      <c r="E1719" s="656" t="s">
        <v>2376</v>
      </c>
      <c r="F1719" s="655">
        <v>61345</v>
      </c>
      <c r="G1719" s="656" t="s">
        <v>57</v>
      </c>
      <c r="H1719" s="656" t="s">
        <v>1182</v>
      </c>
      <c r="I1719" s="656" t="s">
        <v>58</v>
      </c>
      <c r="J1719" s="655">
        <v>22</v>
      </c>
      <c r="K1719" s="655">
        <v>2</v>
      </c>
      <c r="L1719" s="656" t="s">
        <v>52</v>
      </c>
      <c r="M1719" s="656" t="s">
        <v>448</v>
      </c>
      <c r="N1719" s="656" t="s">
        <v>449</v>
      </c>
      <c r="O1719" s="656" t="s">
        <v>449</v>
      </c>
      <c r="P1719" s="656" t="s">
        <v>1176</v>
      </c>
      <c r="Q1719" s="657">
        <v>0</v>
      </c>
      <c r="R1719" s="657">
        <v>0</v>
      </c>
      <c r="S1719" s="657">
        <v>30473</v>
      </c>
      <c r="T1719" s="657">
        <v>30473</v>
      </c>
      <c r="U1719" s="657">
        <v>3446</v>
      </c>
      <c r="V1719" s="655">
        <v>2021</v>
      </c>
      <c r="W1719" s="659"/>
      <c r="X1719" s="660">
        <f t="shared" si="80"/>
        <v>8.8430063842135809</v>
      </c>
      <c r="Y1719" s="661" t="str">
        <f t="shared" si="78"/>
        <v/>
      </c>
      <c r="Z1719" s="661" t="str">
        <f t="shared" si="79"/>
        <v/>
      </c>
    </row>
    <row r="1720" spans="1:26" s="128" customFormat="1" hidden="1">
      <c r="A1720" s="655">
        <v>61720</v>
      </c>
      <c r="B1720" s="656" t="s">
        <v>33</v>
      </c>
      <c r="C1720" s="655" t="s">
        <v>2793</v>
      </c>
      <c r="D1720" s="656" t="s">
        <v>2377</v>
      </c>
      <c r="E1720" s="656" t="s">
        <v>2378</v>
      </c>
      <c r="F1720" s="655">
        <v>61346</v>
      </c>
      <c r="G1720" s="656" t="s">
        <v>57</v>
      </c>
      <c r="H1720" s="656" t="s">
        <v>1182</v>
      </c>
      <c r="I1720" s="656" t="s">
        <v>58</v>
      </c>
      <c r="J1720" s="655">
        <v>22</v>
      </c>
      <c r="K1720" s="655">
        <v>2</v>
      </c>
      <c r="L1720" s="656" t="s">
        <v>52</v>
      </c>
      <c r="M1720" s="656" t="s">
        <v>448</v>
      </c>
      <c r="N1720" s="656" t="s">
        <v>449</v>
      </c>
      <c r="O1720" s="656" t="s">
        <v>449</v>
      </c>
      <c r="P1720" s="656" t="s">
        <v>1176</v>
      </c>
      <c r="Q1720" s="657">
        <v>0</v>
      </c>
      <c r="R1720" s="657">
        <v>0</v>
      </c>
      <c r="S1720" s="657">
        <v>21595</v>
      </c>
      <c r="T1720" s="657">
        <v>21595</v>
      </c>
      <c r="U1720" s="657">
        <v>2442</v>
      </c>
      <c r="V1720" s="655">
        <v>2021</v>
      </c>
      <c r="W1720" s="659"/>
      <c r="X1720" s="660">
        <f t="shared" si="80"/>
        <v>8.8431613431613432</v>
      </c>
      <c r="Y1720" s="661" t="str">
        <f t="shared" si="78"/>
        <v/>
      </c>
      <c r="Z1720" s="661" t="str">
        <f t="shared" si="79"/>
        <v/>
      </c>
    </row>
    <row r="1721" spans="1:26" s="128" customFormat="1" ht="25" hidden="1">
      <c r="A1721" s="655">
        <v>61724</v>
      </c>
      <c r="B1721" s="656" t="s">
        <v>33</v>
      </c>
      <c r="C1721" s="655" t="s">
        <v>2793</v>
      </c>
      <c r="D1721" s="656" t="s">
        <v>2379</v>
      </c>
      <c r="E1721" s="656" t="s">
        <v>2036</v>
      </c>
      <c r="F1721" s="655">
        <v>60584</v>
      </c>
      <c r="G1721" s="656" t="s">
        <v>57</v>
      </c>
      <c r="H1721" s="656" t="s">
        <v>1182</v>
      </c>
      <c r="I1721" s="656" t="s">
        <v>58</v>
      </c>
      <c r="J1721" s="655">
        <v>22</v>
      </c>
      <c r="K1721" s="655">
        <v>2</v>
      </c>
      <c r="L1721" s="656" t="s">
        <v>52</v>
      </c>
      <c r="M1721" s="656" t="s">
        <v>448</v>
      </c>
      <c r="N1721" s="656" t="s">
        <v>449</v>
      </c>
      <c r="O1721" s="656" t="s">
        <v>449</v>
      </c>
      <c r="P1721" s="656" t="s">
        <v>1176</v>
      </c>
      <c r="Q1721" s="657">
        <v>0</v>
      </c>
      <c r="R1721" s="657">
        <v>0</v>
      </c>
      <c r="S1721" s="657">
        <v>24981</v>
      </c>
      <c r="T1721" s="657">
        <v>24981</v>
      </c>
      <c r="U1721" s="657">
        <v>2825</v>
      </c>
      <c r="V1721" s="655">
        <v>2021</v>
      </c>
      <c r="W1721" s="659"/>
      <c r="X1721" s="660">
        <f t="shared" si="80"/>
        <v>8.8428318584070791</v>
      </c>
      <c r="Y1721" s="661" t="str">
        <f t="shared" si="78"/>
        <v/>
      </c>
      <c r="Z1721" s="661" t="str">
        <f t="shared" si="79"/>
        <v/>
      </c>
    </row>
    <row r="1722" spans="1:26" s="128" customFormat="1" hidden="1">
      <c r="A1722" s="655">
        <v>61725</v>
      </c>
      <c r="B1722" s="656" t="s">
        <v>33</v>
      </c>
      <c r="C1722" s="655" t="s">
        <v>2793</v>
      </c>
      <c r="D1722" s="656" t="s">
        <v>2257</v>
      </c>
      <c r="E1722" s="656" t="s">
        <v>3139</v>
      </c>
      <c r="F1722" s="655">
        <v>60571</v>
      </c>
      <c r="G1722" s="656" t="s">
        <v>57</v>
      </c>
      <c r="H1722" s="656" t="s">
        <v>1182</v>
      </c>
      <c r="I1722" s="656" t="s">
        <v>58</v>
      </c>
      <c r="J1722" s="655">
        <v>22</v>
      </c>
      <c r="K1722" s="655">
        <v>2</v>
      </c>
      <c r="L1722" s="656" t="s">
        <v>52</v>
      </c>
      <c r="M1722" s="656" t="s">
        <v>448</v>
      </c>
      <c r="N1722" s="656" t="s">
        <v>449</v>
      </c>
      <c r="O1722" s="656" t="s">
        <v>449</v>
      </c>
      <c r="P1722" s="656" t="s">
        <v>1176</v>
      </c>
      <c r="Q1722" s="657">
        <v>0</v>
      </c>
      <c r="R1722" s="657">
        <v>0</v>
      </c>
      <c r="S1722" s="657">
        <v>23522</v>
      </c>
      <c r="T1722" s="657">
        <v>23522</v>
      </c>
      <c r="U1722" s="657">
        <v>2660</v>
      </c>
      <c r="V1722" s="655">
        <v>2021</v>
      </c>
      <c r="W1722" s="659"/>
      <c r="X1722" s="660">
        <f t="shared" si="80"/>
        <v>8.8428571428571434</v>
      </c>
      <c r="Y1722" s="661" t="str">
        <f t="shared" si="78"/>
        <v/>
      </c>
      <c r="Z1722" s="661" t="str">
        <f t="shared" si="79"/>
        <v/>
      </c>
    </row>
    <row r="1723" spans="1:26" s="128" customFormat="1" ht="25">
      <c r="A1723" s="655">
        <v>61726</v>
      </c>
      <c r="B1723" s="656" t="s">
        <v>33</v>
      </c>
      <c r="C1723" s="655" t="s">
        <v>2793</v>
      </c>
      <c r="D1723" s="656" t="s">
        <v>2258</v>
      </c>
      <c r="E1723" s="656" t="s">
        <v>2036</v>
      </c>
      <c r="F1723" s="655">
        <v>60584</v>
      </c>
      <c r="G1723" s="656" t="s">
        <v>81</v>
      </c>
      <c r="H1723" s="656" t="s">
        <v>1183</v>
      </c>
      <c r="I1723" s="656" t="s">
        <v>58</v>
      </c>
      <c r="J1723" s="655">
        <v>22</v>
      </c>
      <c r="K1723" s="655">
        <v>2</v>
      </c>
      <c r="L1723" s="656" t="s">
        <v>52</v>
      </c>
      <c r="M1723" s="656" t="s">
        <v>448</v>
      </c>
      <c r="N1723" s="656" t="s">
        <v>449</v>
      </c>
      <c r="O1723" s="656" t="s">
        <v>449</v>
      </c>
      <c r="P1723" s="656" t="s">
        <v>1176</v>
      </c>
      <c r="Q1723" s="657">
        <v>0</v>
      </c>
      <c r="R1723" s="657">
        <v>0</v>
      </c>
      <c r="S1723" s="657">
        <v>29270</v>
      </c>
      <c r="T1723" s="657">
        <v>29270</v>
      </c>
      <c r="U1723" s="657">
        <v>3310</v>
      </c>
      <c r="V1723" s="655">
        <v>2021</v>
      </c>
      <c r="W1723" s="659"/>
      <c r="X1723" s="660">
        <f t="shared" si="80"/>
        <v>8.8429003021148045</v>
      </c>
      <c r="Y1723" s="661" t="str">
        <f t="shared" si="78"/>
        <v/>
      </c>
      <c r="Z1723" s="661" t="str">
        <f t="shared" si="79"/>
        <v/>
      </c>
    </row>
    <row r="1724" spans="1:26" s="128" customFormat="1" ht="25">
      <c r="A1724" s="655">
        <v>61727</v>
      </c>
      <c r="B1724" s="656" t="s">
        <v>33</v>
      </c>
      <c r="C1724" s="655" t="s">
        <v>2793</v>
      </c>
      <c r="D1724" s="656" t="s">
        <v>2380</v>
      </c>
      <c r="E1724" s="656" t="s">
        <v>2036</v>
      </c>
      <c r="F1724" s="655">
        <v>60584</v>
      </c>
      <c r="G1724" s="656" t="s">
        <v>81</v>
      </c>
      <c r="H1724" s="656" t="s">
        <v>1183</v>
      </c>
      <c r="I1724" s="656" t="s">
        <v>58</v>
      </c>
      <c r="J1724" s="655">
        <v>22</v>
      </c>
      <c r="K1724" s="655">
        <v>2</v>
      </c>
      <c r="L1724" s="656" t="s">
        <v>52</v>
      </c>
      <c r="M1724" s="656" t="s">
        <v>448</v>
      </c>
      <c r="N1724" s="656" t="s">
        <v>449</v>
      </c>
      <c r="O1724" s="656" t="s">
        <v>449</v>
      </c>
      <c r="P1724" s="656" t="s">
        <v>1176</v>
      </c>
      <c r="Q1724" s="657">
        <v>0</v>
      </c>
      <c r="R1724" s="657">
        <v>0</v>
      </c>
      <c r="S1724" s="657">
        <v>49609</v>
      </c>
      <c r="T1724" s="657">
        <v>49609</v>
      </c>
      <c r="U1724" s="657">
        <v>5610</v>
      </c>
      <c r="V1724" s="655">
        <v>2021</v>
      </c>
      <c r="W1724" s="659"/>
      <c r="X1724" s="660">
        <f t="shared" si="80"/>
        <v>8.8429590017825319</v>
      </c>
      <c r="Y1724" s="661" t="str">
        <f t="shared" si="78"/>
        <v/>
      </c>
      <c r="Z1724" s="661" t="str">
        <f t="shared" si="79"/>
        <v/>
      </c>
    </row>
    <row r="1725" spans="1:26" s="128" customFormat="1" ht="25" hidden="1">
      <c r="A1725" s="655">
        <v>61728</v>
      </c>
      <c r="B1725" s="656" t="s">
        <v>33</v>
      </c>
      <c r="C1725" s="655" t="s">
        <v>2793</v>
      </c>
      <c r="D1725" s="656" t="s">
        <v>2259</v>
      </c>
      <c r="E1725" s="656" t="s">
        <v>2036</v>
      </c>
      <c r="F1725" s="655">
        <v>60584</v>
      </c>
      <c r="G1725" s="656" t="s">
        <v>41</v>
      </c>
      <c r="H1725" s="656" t="s">
        <v>1183</v>
      </c>
      <c r="I1725" s="656" t="s">
        <v>58</v>
      </c>
      <c r="J1725" s="655">
        <v>22</v>
      </c>
      <c r="K1725" s="655">
        <v>2</v>
      </c>
      <c r="L1725" s="656" t="s">
        <v>52</v>
      </c>
      <c r="M1725" s="656" t="s">
        <v>448</v>
      </c>
      <c r="N1725" s="656" t="s">
        <v>449</v>
      </c>
      <c r="O1725" s="656" t="s">
        <v>449</v>
      </c>
      <c r="P1725" s="656" t="s">
        <v>1176</v>
      </c>
      <c r="Q1725" s="657">
        <v>0</v>
      </c>
      <c r="R1725" s="657">
        <v>0</v>
      </c>
      <c r="S1725" s="657">
        <v>23364</v>
      </c>
      <c r="T1725" s="657">
        <v>23364</v>
      </c>
      <c r="U1725" s="657">
        <v>2642</v>
      </c>
      <c r="V1725" s="655">
        <v>2021</v>
      </c>
      <c r="W1725" s="659"/>
      <c r="X1725" s="660">
        <f t="shared" si="80"/>
        <v>8.8433005299015903</v>
      </c>
      <c r="Y1725" s="661" t="str">
        <f t="shared" si="78"/>
        <v/>
      </c>
      <c r="Z1725" s="661" t="str">
        <f t="shared" si="79"/>
        <v/>
      </c>
    </row>
    <row r="1726" spans="1:26" s="128" customFormat="1" ht="25">
      <c r="A1726" s="655">
        <v>61730</v>
      </c>
      <c r="B1726" s="656" t="s">
        <v>33</v>
      </c>
      <c r="C1726" s="655" t="s">
        <v>2793</v>
      </c>
      <c r="D1726" s="656" t="s">
        <v>2833</v>
      </c>
      <c r="E1726" s="656" t="s">
        <v>2381</v>
      </c>
      <c r="F1726" s="655">
        <v>58764</v>
      </c>
      <c r="G1726" s="656" t="s">
        <v>81</v>
      </c>
      <c r="H1726" s="656" t="s">
        <v>1183</v>
      </c>
      <c r="I1726" s="656" t="s">
        <v>58</v>
      </c>
      <c r="J1726" s="655">
        <v>22</v>
      </c>
      <c r="K1726" s="655">
        <v>2</v>
      </c>
      <c r="L1726" s="656" t="s">
        <v>52</v>
      </c>
      <c r="M1726" s="656" t="s">
        <v>1890</v>
      </c>
      <c r="N1726" s="656" t="s">
        <v>1052</v>
      </c>
      <c r="O1726" s="656" t="s">
        <v>82</v>
      </c>
      <c r="P1726" s="656" t="s">
        <v>2794</v>
      </c>
      <c r="Q1726" s="657">
        <v>387</v>
      </c>
      <c r="R1726" s="657">
        <v>387</v>
      </c>
      <c r="S1726" s="657">
        <v>0</v>
      </c>
      <c r="T1726" s="657">
        <v>0</v>
      </c>
      <c r="U1726" s="657">
        <v>-33</v>
      </c>
      <c r="V1726" s="655">
        <v>2021</v>
      </c>
      <c r="W1726" s="659"/>
      <c r="X1726" s="660" t="str">
        <f t="shared" si="80"/>
        <v/>
      </c>
      <c r="Y1726" s="661" t="str">
        <f t="shared" si="78"/>
        <v/>
      </c>
      <c r="Z1726" s="661" t="str">
        <f t="shared" si="79"/>
        <v/>
      </c>
    </row>
    <row r="1727" spans="1:26" s="128" customFormat="1">
      <c r="A1727" s="655">
        <v>61730</v>
      </c>
      <c r="B1727" s="656" t="s">
        <v>33</v>
      </c>
      <c r="C1727" s="655" t="s">
        <v>2793</v>
      </c>
      <c r="D1727" s="656" t="s">
        <v>2833</v>
      </c>
      <c r="E1727" s="656" t="s">
        <v>2381</v>
      </c>
      <c r="F1727" s="655">
        <v>58764</v>
      </c>
      <c r="G1727" s="656" t="s">
        <v>81</v>
      </c>
      <c r="H1727" s="656" t="s">
        <v>1183</v>
      </c>
      <c r="I1727" s="656" t="s">
        <v>58</v>
      </c>
      <c r="J1727" s="655">
        <v>22</v>
      </c>
      <c r="K1727" s="655">
        <v>2</v>
      </c>
      <c r="L1727" s="656" t="s">
        <v>52</v>
      </c>
      <c r="M1727" s="656" t="s">
        <v>448</v>
      </c>
      <c r="N1727" s="656" t="s">
        <v>449</v>
      </c>
      <c r="O1727" s="656" t="s">
        <v>449</v>
      </c>
      <c r="P1727" s="656" t="s">
        <v>1176</v>
      </c>
      <c r="Q1727" s="657">
        <v>0</v>
      </c>
      <c r="R1727" s="657">
        <v>0</v>
      </c>
      <c r="S1727" s="657">
        <v>12114</v>
      </c>
      <c r="T1727" s="657">
        <v>12114</v>
      </c>
      <c r="U1727" s="657">
        <v>1370</v>
      </c>
      <c r="V1727" s="655">
        <v>2021</v>
      </c>
      <c r="W1727" s="659"/>
      <c r="X1727" s="660">
        <f t="shared" si="80"/>
        <v>8.8423357664233571</v>
      </c>
      <c r="Y1727" s="661" t="str">
        <f t="shared" si="78"/>
        <v/>
      </c>
      <c r="Z1727" s="661" t="str">
        <f t="shared" si="79"/>
        <v/>
      </c>
    </row>
    <row r="1728" spans="1:26" s="128" customFormat="1">
      <c r="A1728" s="655">
        <v>61731</v>
      </c>
      <c r="B1728" s="656" t="s">
        <v>33</v>
      </c>
      <c r="C1728" s="655" t="s">
        <v>2793</v>
      </c>
      <c r="D1728" s="656" t="s">
        <v>2260</v>
      </c>
      <c r="E1728" s="656" t="s">
        <v>2260</v>
      </c>
      <c r="F1728" s="655">
        <v>61354</v>
      </c>
      <c r="G1728" s="656" t="s">
        <v>81</v>
      </c>
      <c r="H1728" s="656" t="s">
        <v>1183</v>
      </c>
      <c r="I1728" s="656" t="s">
        <v>58</v>
      </c>
      <c r="J1728" s="655">
        <v>22</v>
      </c>
      <c r="K1728" s="655">
        <v>2</v>
      </c>
      <c r="L1728" s="656" t="s">
        <v>52</v>
      </c>
      <c r="M1728" s="656" t="s">
        <v>448</v>
      </c>
      <c r="N1728" s="656" t="s">
        <v>449</v>
      </c>
      <c r="O1728" s="656" t="s">
        <v>449</v>
      </c>
      <c r="P1728" s="656" t="s">
        <v>1176</v>
      </c>
      <c r="Q1728" s="657">
        <v>0</v>
      </c>
      <c r="R1728" s="657">
        <v>0</v>
      </c>
      <c r="S1728" s="657">
        <v>63430</v>
      </c>
      <c r="T1728" s="657">
        <v>63430</v>
      </c>
      <c r="U1728" s="657">
        <v>7173</v>
      </c>
      <c r="V1728" s="655">
        <v>2021</v>
      </c>
      <c r="W1728" s="659"/>
      <c r="X1728" s="660">
        <f t="shared" si="80"/>
        <v>8.8428830335982163</v>
      </c>
      <c r="Y1728" s="661" t="str">
        <f t="shared" si="78"/>
        <v/>
      </c>
      <c r="Z1728" s="661" t="str">
        <f t="shared" si="79"/>
        <v/>
      </c>
    </row>
    <row r="1729" spans="1:26" s="128" customFormat="1">
      <c r="A1729" s="655">
        <v>61732</v>
      </c>
      <c r="B1729" s="656" t="s">
        <v>33</v>
      </c>
      <c r="C1729" s="655" t="s">
        <v>2793</v>
      </c>
      <c r="D1729" s="656" t="s">
        <v>2261</v>
      </c>
      <c r="E1729" s="656" t="s">
        <v>2262</v>
      </c>
      <c r="F1729" s="655">
        <v>61356</v>
      </c>
      <c r="G1729" s="656" t="s">
        <v>81</v>
      </c>
      <c r="H1729" s="656" t="s">
        <v>1183</v>
      </c>
      <c r="I1729" s="656" t="s">
        <v>58</v>
      </c>
      <c r="J1729" s="655">
        <v>22</v>
      </c>
      <c r="K1729" s="655">
        <v>2</v>
      </c>
      <c r="L1729" s="656" t="s">
        <v>52</v>
      </c>
      <c r="M1729" s="656" t="s">
        <v>448</v>
      </c>
      <c r="N1729" s="656" t="s">
        <v>449</v>
      </c>
      <c r="O1729" s="656" t="s">
        <v>449</v>
      </c>
      <c r="P1729" s="656" t="s">
        <v>1176</v>
      </c>
      <c r="Q1729" s="657">
        <v>0</v>
      </c>
      <c r="R1729" s="657">
        <v>0</v>
      </c>
      <c r="S1729" s="657">
        <v>52279</v>
      </c>
      <c r="T1729" s="657">
        <v>52279</v>
      </c>
      <c r="U1729" s="657">
        <v>5912</v>
      </c>
      <c r="V1729" s="655">
        <v>2021</v>
      </c>
      <c r="W1729" s="659"/>
      <c r="X1729" s="660">
        <f t="shared" si="80"/>
        <v>8.8428619756427604</v>
      </c>
      <c r="Y1729" s="661" t="str">
        <f t="shared" si="78"/>
        <v/>
      </c>
      <c r="Z1729" s="661" t="str">
        <f t="shared" si="79"/>
        <v/>
      </c>
    </row>
    <row r="1730" spans="1:26" s="128" customFormat="1" ht="25" hidden="1">
      <c r="A1730" s="655">
        <v>61734</v>
      </c>
      <c r="B1730" s="656" t="s">
        <v>33</v>
      </c>
      <c r="C1730" s="655" t="s">
        <v>2793</v>
      </c>
      <c r="D1730" s="656" t="s">
        <v>2263</v>
      </c>
      <c r="E1730" s="656" t="s">
        <v>2264</v>
      </c>
      <c r="F1730" s="655">
        <v>61363</v>
      </c>
      <c r="G1730" s="656" t="s">
        <v>57</v>
      </c>
      <c r="H1730" s="656" t="s">
        <v>1182</v>
      </c>
      <c r="I1730" s="656" t="s">
        <v>58</v>
      </c>
      <c r="J1730" s="655">
        <v>441</v>
      </c>
      <c r="K1730" s="655">
        <v>4</v>
      </c>
      <c r="L1730" s="656" t="s">
        <v>412</v>
      </c>
      <c r="M1730" s="656" t="s">
        <v>71</v>
      </c>
      <c r="N1730" s="656" t="s">
        <v>72</v>
      </c>
      <c r="O1730" s="656" t="s">
        <v>72</v>
      </c>
      <c r="P1730" s="656" t="s">
        <v>1176</v>
      </c>
      <c r="Q1730" s="657">
        <v>0</v>
      </c>
      <c r="R1730" s="657">
        <v>0</v>
      </c>
      <c r="S1730" s="657">
        <v>26220</v>
      </c>
      <c r="T1730" s="657">
        <v>26220</v>
      </c>
      <c r="U1730" s="657">
        <v>2965</v>
      </c>
      <c r="V1730" s="655">
        <v>2021</v>
      </c>
      <c r="W1730" s="659"/>
      <c r="X1730" s="660" t="str">
        <f t="shared" si="80"/>
        <v/>
      </c>
      <c r="Y1730" s="661" t="str">
        <f t="shared" si="78"/>
        <v/>
      </c>
      <c r="Z1730" s="661" t="str">
        <f t="shared" si="79"/>
        <v/>
      </c>
    </row>
    <row r="1731" spans="1:26" s="128" customFormat="1" hidden="1">
      <c r="A1731" s="655">
        <v>61736</v>
      </c>
      <c r="B1731" s="656" t="s">
        <v>33</v>
      </c>
      <c r="C1731" s="655" t="s">
        <v>2793</v>
      </c>
      <c r="D1731" s="656" t="s">
        <v>2382</v>
      </c>
      <c r="E1731" s="656" t="s">
        <v>2383</v>
      </c>
      <c r="F1731" s="655">
        <v>61366</v>
      </c>
      <c r="G1731" s="656" t="s">
        <v>41</v>
      </c>
      <c r="H1731" s="656" t="s">
        <v>1183</v>
      </c>
      <c r="I1731" s="656" t="s">
        <v>58</v>
      </c>
      <c r="J1731" s="655">
        <v>22</v>
      </c>
      <c r="K1731" s="655">
        <v>2</v>
      </c>
      <c r="L1731" s="656" t="s">
        <v>52</v>
      </c>
      <c r="M1731" s="656" t="s">
        <v>448</v>
      </c>
      <c r="N1731" s="656" t="s">
        <v>449</v>
      </c>
      <c r="O1731" s="656" t="s">
        <v>449</v>
      </c>
      <c r="P1731" s="656" t="s">
        <v>1176</v>
      </c>
      <c r="Q1731" s="657">
        <v>0</v>
      </c>
      <c r="R1731" s="657">
        <v>0</v>
      </c>
      <c r="S1731" s="657">
        <v>237116</v>
      </c>
      <c r="T1731" s="657">
        <v>237116</v>
      </c>
      <c r="U1731" s="657">
        <v>26814</v>
      </c>
      <c r="V1731" s="655">
        <v>2021</v>
      </c>
      <c r="W1731" s="659"/>
      <c r="X1731" s="660">
        <f t="shared" si="80"/>
        <v>8.8429924666219133</v>
      </c>
      <c r="Y1731" s="661" t="str">
        <f t="shared" si="78"/>
        <v/>
      </c>
      <c r="Z1731" s="661" t="str">
        <f t="shared" si="79"/>
        <v/>
      </c>
    </row>
    <row r="1732" spans="1:26" s="128" customFormat="1" ht="25" hidden="1">
      <c r="A1732" s="655">
        <v>61739</v>
      </c>
      <c r="B1732" s="656" t="s">
        <v>33</v>
      </c>
      <c r="C1732" s="655" t="s">
        <v>2793</v>
      </c>
      <c r="D1732" s="656" t="s">
        <v>2265</v>
      </c>
      <c r="E1732" s="656" t="s">
        <v>2265</v>
      </c>
      <c r="F1732" s="655">
        <v>61364</v>
      </c>
      <c r="G1732" s="656" t="s">
        <v>57</v>
      </c>
      <c r="H1732" s="656" t="s">
        <v>1182</v>
      </c>
      <c r="I1732" s="656" t="s">
        <v>58</v>
      </c>
      <c r="J1732" s="655">
        <v>339</v>
      </c>
      <c r="K1732" s="655">
        <v>6</v>
      </c>
      <c r="L1732" s="656" t="s">
        <v>410</v>
      </c>
      <c r="M1732" s="656" t="s">
        <v>1890</v>
      </c>
      <c r="N1732" s="656" t="s">
        <v>1052</v>
      </c>
      <c r="O1732" s="656" t="s">
        <v>82</v>
      </c>
      <c r="P1732" s="656" t="s">
        <v>2794</v>
      </c>
      <c r="Q1732" s="657">
        <v>0</v>
      </c>
      <c r="R1732" s="657">
        <v>0</v>
      </c>
      <c r="S1732" s="657">
        <v>0</v>
      </c>
      <c r="T1732" s="657">
        <v>0</v>
      </c>
      <c r="U1732" s="657">
        <v>0</v>
      </c>
      <c r="V1732" s="655">
        <v>2021</v>
      </c>
      <c r="W1732" s="659"/>
      <c r="X1732" s="660" t="str">
        <f t="shared" si="80"/>
        <v/>
      </c>
      <c r="Y1732" s="661" t="str">
        <f t="shared" si="78"/>
        <v/>
      </c>
      <c r="Z1732" s="661" t="str">
        <f t="shared" si="79"/>
        <v/>
      </c>
    </row>
    <row r="1733" spans="1:26" s="128" customFormat="1">
      <c r="A1733" s="655">
        <v>61755</v>
      </c>
      <c r="B1733" s="656" t="s">
        <v>33</v>
      </c>
      <c r="C1733" s="655" t="s">
        <v>2793</v>
      </c>
      <c r="D1733" s="656" t="s">
        <v>2266</v>
      </c>
      <c r="E1733" s="656" t="s">
        <v>1765</v>
      </c>
      <c r="F1733" s="655">
        <v>59254</v>
      </c>
      <c r="G1733" s="656" t="s">
        <v>81</v>
      </c>
      <c r="H1733" s="656" t="s">
        <v>1183</v>
      </c>
      <c r="I1733" s="656" t="s">
        <v>58</v>
      </c>
      <c r="J1733" s="655">
        <v>22</v>
      </c>
      <c r="K1733" s="655">
        <v>2</v>
      </c>
      <c r="L1733" s="656" t="s">
        <v>52</v>
      </c>
      <c r="M1733" s="656" t="s">
        <v>448</v>
      </c>
      <c r="N1733" s="656" t="s">
        <v>449</v>
      </c>
      <c r="O1733" s="656" t="s">
        <v>449</v>
      </c>
      <c r="P1733" s="656" t="s">
        <v>1176</v>
      </c>
      <c r="Q1733" s="657">
        <v>0</v>
      </c>
      <c r="R1733" s="657">
        <v>0</v>
      </c>
      <c r="S1733" s="657">
        <v>42260</v>
      </c>
      <c r="T1733" s="657">
        <v>42260</v>
      </c>
      <c r="U1733" s="657">
        <v>4779</v>
      </c>
      <c r="V1733" s="655">
        <v>2021</v>
      </c>
      <c r="W1733" s="659"/>
      <c r="X1733" s="660">
        <f t="shared" si="80"/>
        <v>8.8428541535886165</v>
      </c>
      <c r="Y1733" s="661" t="str">
        <f t="shared" si="78"/>
        <v/>
      </c>
      <c r="Z1733" s="661" t="str">
        <f t="shared" si="79"/>
        <v/>
      </c>
    </row>
    <row r="1734" spans="1:26" s="128" customFormat="1" hidden="1">
      <c r="A1734" s="655">
        <v>61764</v>
      </c>
      <c r="B1734" s="656" t="s">
        <v>33</v>
      </c>
      <c r="C1734" s="655" t="s">
        <v>2793</v>
      </c>
      <c r="D1734" s="656" t="s">
        <v>2267</v>
      </c>
      <c r="E1734" s="656" t="s">
        <v>2268</v>
      </c>
      <c r="F1734" s="655">
        <v>61391</v>
      </c>
      <c r="G1734" s="656" t="s">
        <v>57</v>
      </c>
      <c r="H1734" s="656" t="s">
        <v>1182</v>
      </c>
      <c r="I1734" s="656" t="s">
        <v>58</v>
      </c>
      <c r="J1734" s="655">
        <v>22</v>
      </c>
      <c r="K1734" s="655">
        <v>2</v>
      </c>
      <c r="L1734" s="656" t="s">
        <v>52</v>
      </c>
      <c r="M1734" s="656" t="s">
        <v>448</v>
      </c>
      <c r="N1734" s="656" t="s">
        <v>449</v>
      </c>
      <c r="O1734" s="656" t="s">
        <v>449</v>
      </c>
      <c r="P1734" s="656" t="s">
        <v>1176</v>
      </c>
      <c r="Q1734" s="657">
        <v>0</v>
      </c>
      <c r="R1734" s="657">
        <v>0</v>
      </c>
      <c r="S1734" s="657">
        <v>25185</v>
      </c>
      <c r="T1734" s="657">
        <v>25185</v>
      </c>
      <c r="U1734" s="657">
        <v>2848</v>
      </c>
      <c r="V1734" s="655">
        <v>2021</v>
      </c>
      <c r="W1734" s="659"/>
      <c r="X1734" s="660">
        <f t="shared" si="80"/>
        <v>8.8430477528089888</v>
      </c>
      <c r="Y1734" s="661" t="str">
        <f t="shared" si="78"/>
        <v/>
      </c>
      <c r="Z1734" s="661" t="str">
        <f t="shared" si="79"/>
        <v/>
      </c>
    </row>
    <row r="1735" spans="1:26" s="128" customFormat="1" hidden="1">
      <c r="A1735" s="655">
        <v>61765</v>
      </c>
      <c r="B1735" s="656" t="s">
        <v>33</v>
      </c>
      <c r="C1735" s="655" t="s">
        <v>2793</v>
      </c>
      <c r="D1735" s="656" t="s">
        <v>2269</v>
      </c>
      <c r="E1735" s="656" t="s">
        <v>2270</v>
      </c>
      <c r="F1735" s="655">
        <v>61387</v>
      </c>
      <c r="G1735" s="656" t="s">
        <v>57</v>
      </c>
      <c r="H1735" s="656" t="s">
        <v>1182</v>
      </c>
      <c r="I1735" s="656" t="s">
        <v>58</v>
      </c>
      <c r="J1735" s="655">
        <v>22</v>
      </c>
      <c r="K1735" s="655">
        <v>2</v>
      </c>
      <c r="L1735" s="656" t="s">
        <v>52</v>
      </c>
      <c r="M1735" s="656" t="s">
        <v>448</v>
      </c>
      <c r="N1735" s="656" t="s">
        <v>449</v>
      </c>
      <c r="O1735" s="656" t="s">
        <v>449</v>
      </c>
      <c r="P1735" s="656" t="s">
        <v>1176</v>
      </c>
      <c r="Q1735" s="657">
        <v>0</v>
      </c>
      <c r="R1735" s="657">
        <v>0</v>
      </c>
      <c r="S1735" s="657">
        <v>27562</v>
      </c>
      <c r="T1735" s="657">
        <v>27562</v>
      </c>
      <c r="U1735" s="657">
        <v>3117</v>
      </c>
      <c r="V1735" s="655">
        <v>2021</v>
      </c>
      <c r="W1735" s="659"/>
      <c r="X1735" s="660">
        <f t="shared" si="80"/>
        <v>8.8424767404555666</v>
      </c>
      <c r="Y1735" s="661" t="str">
        <f t="shared" ref="Y1735:Y1798" si="81">IF(AND($M1735=$Y$2,$N1735=$Y$3,NOT($Q1735=$R1735),NOT($U1735=0)),IF($K1735=5,$S1735/($U1735+(8/5)*$U1735),IF($K1735=7,$S1735/($U1735+(29/25)*$U1735),"")),"")</f>
        <v/>
      </c>
      <c r="Z1735" s="661" t="str">
        <f t="shared" ref="Z1735:Z1798" si="82">IF(AND($M1735=$Y$2,$N1735=$Y$4,NOT($Q1735=$R1735),NOT($U1735=0)),IF($K1735=5,$S1735/($U1735+(8/5)*$U1735),IF($K1735=7,$S1735/($U1735+(29/25)*$U1735),"")),"")</f>
        <v/>
      </c>
    </row>
    <row r="1736" spans="1:26" s="128" customFormat="1">
      <c r="A1736" s="655">
        <v>61769</v>
      </c>
      <c r="B1736" s="656" t="s">
        <v>33</v>
      </c>
      <c r="C1736" s="655" t="s">
        <v>2793</v>
      </c>
      <c r="D1736" s="656" t="s">
        <v>2271</v>
      </c>
      <c r="E1736" s="656" t="s">
        <v>2272</v>
      </c>
      <c r="F1736" s="655">
        <v>61388</v>
      </c>
      <c r="G1736" s="656" t="s">
        <v>81</v>
      </c>
      <c r="H1736" s="656" t="s">
        <v>1183</v>
      </c>
      <c r="I1736" s="656" t="s">
        <v>58</v>
      </c>
      <c r="J1736" s="655">
        <v>22</v>
      </c>
      <c r="K1736" s="655">
        <v>2</v>
      </c>
      <c r="L1736" s="656" t="s">
        <v>52</v>
      </c>
      <c r="M1736" s="656" t="s">
        <v>448</v>
      </c>
      <c r="N1736" s="656" t="s">
        <v>449</v>
      </c>
      <c r="O1736" s="656" t="s">
        <v>449</v>
      </c>
      <c r="P1736" s="656" t="s">
        <v>1176</v>
      </c>
      <c r="Q1736" s="657">
        <v>0</v>
      </c>
      <c r="R1736" s="657">
        <v>0</v>
      </c>
      <c r="S1736" s="657">
        <v>26963</v>
      </c>
      <c r="T1736" s="657">
        <v>26963</v>
      </c>
      <c r="U1736" s="657">
        <v>3049</v>
      </c>
      <c r="V1736" s="655">
        <v>2021</v>
      </c>
      <c r="W1736" s="659"/>
      <c r="X1736" s="660">
        <f t="shared" ref="X1736:X1799" si="83">IF(OR(K1736&gt;3,T1736=0,NOT(U1736&gt;0)),"",T1736/U1736)</f>
        <v>8.8432272876352904</v>
      </c>
      <c r="Y1736" s="661" t="str">
        <f t="shared" si="81"/>
        <v/>
      </c>
      <c r="Z1736" s="661" t="str">
        <f t="shared" si="82"/>
        <v/>
      </c>
    </row>
    <row r="1737" spans="1:26" s="128" customFormat="1">
      <c r="A1737" s="655">
        <v>61770</v>
      </c>
      <c r="B1737" s="656" t="s">
        <v>33</v>
      </c>
      <c r="C1737" s="655" t="s">
        <v>2793</v>
      </c>
      <c r="D1737" s="656" t="s">
        <v>2273</v>
      </c>
      <c r="E1737" s="656" t="s">
        <v>2274</v>
      </c>
      <c r="F1737" s="655">
        <v>61389</v>
      </c>
      <c r="G1737" s="656" t="s">
        <v>81</v>
      </c>
      <c r="H1737" s="656" t="s">
        <v>1183</v>
      </c>
      <c r="I1737" s="656" t="s">
        <v>58</v>
      </c>
      <c r="J1737" s="655">
        <v>22</v>
      </c>
      <c r="K1737" s="655">
        <v>2</v>
      </c>
      <c r="L1737" s="656" t="s">
        <v>52</v>
      </c>
      <c r="M1737" s="656" t="s">
        <v>448</v>
      </c>
      <c r="N1737" s="656" t="s">
        <v>449</v>
      </c>
      <c r="O1737" s="656" t="s">
        <v>449</v>
      </c>
      <c r="P1737" s="656" t="s">
        <v>1176</v>
      </c>
      <c r="Q1737" s="657">
        <v>0</v>
      </c>
      <c r="R1737" s="657">
        <v>0</v>
      </c>
      <c r="S1737" s="657">
        <v>27519</v>
      </c>
      <c r="T1737" s="657">
        <v>27519</v>
      </c>
      <c r="U1737" s="657">
        <v>3112</v>
      </c>
      <c r="V1737" s="655">
        <v>2021</v>
      </c>
      <c r="W1737" s="659"/>
      <c r="X1737" s="660">
        <f t="shared" si="83"/>
        <v>8.8428663239074545</v>
      </c>
      <c r="Y1737" s="661" t="str">
        <f t="shared" si="81"/>
        <v/>
      </c>
      <c r="Z1737" s="661" t="str">
        <f t="shared" si="82"/>
        <v/>
      </c>
    </row>
    <row r="1738" spans="1:26" s="128" customFormat="1" ht="25">
      <c r="A1738" s="655">
        <v>61771</v>
      </c>
      <c r="B1738" s="656" t="s">
        <v>33</v>
      </c>
      <c r="C1738" s="655" t="s">
        <v>2793</v>
      </c>
      <c r="D1738" s="656" t="s">
        <v>2275</v>
      </c>
      <c r="E1738" s="656" t="s">
        <v>2276</v>
      </c>
      <c r="F1738" s="655">
        <v>61390</v>
      </c>
      <c r="G1738" s="656" t="s">
        <v>81</v>
      </c>
      <c r="H1738" s="656" t="s">
        <v>1183</v>
      </c>
      <c r="I1738" s="656" t="s">
        <v>58</v>
      </c>
      <c r="J1738" s="655">
        <v>22</v>
      </c>
      <c r="K1738" s="655">
        <v>2</v>
      </c>
      <c r="L1738" s="656" t="s">
        <v>52</v>
      </c>
      <c r="M1738" s="656" t="s">
        <v>448</v>
      </c>
      <c r="N1738" s="656" t="s">
        <v>449</v>
      </c>
      <c r="O1738" s="656" t="s">
        <v>449</v>
      </c>
      <c r="P1738" s="656" t="s">
        <v>1176</v>
      </c>
      <c r="Q1738" s="657">
        <v>0</v>
      </c>
      <c r="R1738" s="657">
        <v>0</v>
      </c>
      <c r="S1738" s="657">
        <v>14016</v>
      </c>
      <c r="T1738" s="657">
        <v>14016</v>
      </c>
      <c r="U1738" s="657">
        <v>1585</v>
      </c>
      <c r="V1738" s="655">
        <v>2021</v>
      </c>
      <c r="W1738" s="659"/>
      <c r="X1738" s="660">
        <f t="shared" si="83"/>
        <v>8.8429022082018935</v>
      </c>
      <c r="Y1738" s="661" t="str">
        <f t="shared" si="81"/>
        <v/>
      </c>
      <c r="Z1738" s="661" t="str">
        <f t="shared" si="82"/>
        <v/>
      </c>
    </row>
    <row r="1739" spans="1:26" s="128" customFormat="1" ht="25">
      <c r="A1739" s="655">
        <v>61774</v>
      </c>
      <c r="B1739" s="656" t="s">
        <v>33</v>
      </c>
      <c r="C1739" s="655" t="s">
        <v>2793</v>
      </c>
      <c r="D1739" s="656" t="s">
        <v>2384</v>
      </c>
      <c r="E1739" s="656" t="s">
        <v>2277</v>
      </c>
      <c r="F1739" s="655">
        <v>61392</v>
      </c>
      <c r="G1739" s="656" t="s">
        <v>81</v>
      </c>
      <c r="H1739" s="656" t="s">
        <v>1183</v>
      </c>
      <c r="I1739" s="656" t="s">
        <v>58</v>
      </c>
      <c r="J1739" s="655">
        <v>22</v>
      </c>
      <c r="K1739" s="655">
        <v>2</v>
      </c>
      <c r="L1739" s="656" t="s">
        <v>52</v>
      </c>
      <c r="M1739" s="656" t="s">
        <v>448</v>
      </c>
      <c r="N1739" s="656" t="s">
        <v>449</v>
      </c>
      <c r="O1739" s="656" t="s">
        <v>449</v>
      </c>
      <c r="P1739" s="656" t="s">
        <v>1176</v>
      </c>
      <c r="Q1739" s="657">
        <v>0</v>
      </c>
      <c r="R1739" s="657">
        <v>0</v>
      </c>
      <c r="S1739" s="657">
        <v>30217</v>
      </c>
      <c r="T1739" s="657">
        <v>30217</v>
      </c>
      <c r="U1739" s="657">
        <v>3417</v>
      </c>
      <c r="V1739" s="655">
        <v>2021</v>
      </c>
      <c r="W1739" s="659"/>
      <c r="X1739" s="660">
        <f t="shared" si="83"/>
        <v>8.8431372549019613</v>
      </c>
      <c r="Y1739" s="661" t="str">
        <f t="shared" si="81"/>
        <v/>
      </c>
      <c r="Z1739" s="661" t="str">
        <f t="shared" si="82"/>
        <v/>
      </c>
    </row>
    <row r="1740" spans="1:26" s="128" customFormat="1" ht="25" hidden="1">
      <c r="A1740" s="655">
        <v>61775</v>
      </c>
      <c r="B1740" s="656" t="s">
        <v>33</v>
      </c>
      <c r="C1740" s="655" t="s">
        <v>2793</v>
      </c>
      <c r="D1740" s="656" t="s">
        <v>2385</v>
      </c>
      <c r="E1740" s="656" t="s">
        <v>2386</v>
      </c>
      <c r="F1740" s="655">
        <v>61397</v>
      </c>
      <c r="G1740" s="656" t="s">
        <v>81</v>
      </c>
      <c r="H1740" s="656" t="s">
        <v>1183</v>
      </c>
      <c r="I1740" s="656" t="s">
        <v>58</v>
      </c>
      <c r="J1740" s="655">
        <v>92</v>
      </c>
      <c r="K1740" s="655">
        <v>4</v>
      </c>
      <c r="L1740" s="656" t="s">
        <v>412</v>
      </c>
      <c r="M1740" s="656" t="s">
        <v>71</v>
      </c>
      <c r="N1740" s="656" t="s">
        <v>72</v>
      </c>
      <c r="O1740" s="656" t="s">
        <v>72</v>
      </c>
      <c r="P1740" s="656" t="s">
        <v>1176</v>
      </c>
      <c r="Q1740" s="657">
        <v>0</v>
      </c>
      <c r="R1740" s="657">
        <v>0</v>
      </c>
      <c r="S1740" s="657">
        <v>27413</v>
      </c>
      <c r="T1740" s="657">
        <v>27413</v>
      </c>
      <c r="U1740" s="657">
        <v>3100</v>
      </c>
      <c r="V1740" s="655">
        <v>2021</v>
      </c>
      <c r="W1740" s="659"/>
      <c r="X1740" s="660" t="str">
        <f t="shared" si="83"/>
        <v/>
      </c>
      <c r="Y1740" s="661" t="str">
        <f t="shared" si="81"/>
        <v/>
      </c>
      <c r="Z1740" s="661" t="str">
        <f t="shared" si="82"/>
        <v/>
      </c>
    </row>
    <row r="1741" spans="1:26" s="128" customFormat="1" hidden="1">
      <c r="A1741" s="655">
        <v>61786</v>
      </c>
      <c r="B1741" s="656" t="s">
        <v>33</v>
      </c>
      <c r="C1741" s="655" t="s">
        <v>2793</v>
      </c>
      <c r="D1741" s="656" t="s">
        <v>2387</v>
      </c>
      <c r="E1741" s="656" t="s">
        <v>3139</v>
      </c>
      <c r="F1741" s="655">
        <v>60571</v>
      </c>
      <c r="G1741" s="656" t="s">
        <v>41</v>
      </c>
      <c r="H1741" s="656" t="s">
        <v>1183</v>
      </c>
      <c r="I1741" s="656" t="s">
        <v>58</v>
      </c>
      <c r="J1741" s="655">
        <v>22</v>
      </c>
      <c r="K1741" s="655">
        <v>2</v>
      </c>
      <c r="L1741" s="656" t="s">
        <v>52</v>
      </c>
      <c r="M1741" s="656" t="s">
        <v>1255</v>
      </c>
      <c r="N1741" s="656" t="s">
        <v>39</v>
      </c>
      <c r="O1741" s="656" t="s">
        <v>39</v>
      </c>
      <c r="P1741" s="656" t="s">
        <v>1037</v>
      </c>
      <c r="Q1741" s="657">
        <v>96146</v>
      </c>
      <c r="R1741" s="657">
        <v>96146</v>
      </c>
      <c r="S1741" s="657">
        <v>98934</v>
      </c>
      <c r="T1741" s="657">
        <v>98934</v>
      </c>
      <c r="U1741" s="657">
        <v>10842</v>
      </c>
      <c r="V1741" s="655">
        <v>2021</v>
      </c>
      <c r="W1741" s="659"/>
      <c r="X1741" s="660">
        <f t="shared" si="83"/>
        <v>9.1250691754288873</v>
      </c>
      <c r="Y1741" s="661" t="str">
        <f t="shared" si="81"/>
        <v/>
      </c>
      <c r="Z1741" s="661" t="str">
        <f t="shared" si="82"/>
        <v/>
      </c>
    </row>
    <row r="1742" spans="1:26" s="128" customFormat="1" hidden="1">
      <c r="A1742" s="655">
        <v>61804</v>
      </c>
      <c r="B1742" s="656" t="s">
        <v>33</v>
      </c>
      <c r="C1742" s="655" t="s">
        <v>2793</v>
      </c>
      <c r="D1742" s="656" t="s">
        <v>2278</v>
      </c>
      <c r="E1742" s="656" t="s">
        <v>2210</v>
      </c>
      <c r="F1742" s="655">
        <v>61012</v>
      </c>
      <c r="G1742" s="656" t="s">
        <v>57</v>
      </c>
      <c r="H1742" s="656" t="s">
        <v>1182</v>
      </c>
      <c r="I1742" s="656" t="s">
        <v>58</v>
      </c>
      <c r="J1742" s="655">
        <v>22</v>
      </c>
      <c r="K1742" s="655">
        <v>2</v>
      </c>
      <c r="L1742" s="656" t="s">
        <v>52</v>
      </c>
      <c r="M1742" s="656" t="s">
        <v>448</v>
      </c>
      <c r="N1742" s="656" t="s">
        <v>449</v>
      </c>
      <c r="O1742" s="656" t="s">
        <v>449</v>
      </c>
      <c r="P1742" s="656" t="s">
        <v>1176</v>
      </c>
      <c r="Q1742" s="657">
        <v>0</v>
      </c>
      <c r="R1742" s="657">
        <v>0</v>
      </c>
      <c r="S1742" s="657">
        <v>23904</v>
      </c>
      <c r="T1742" s="657">
        <v>23904</v>
      </c>
      <c r="U1742" s="657">
        <v>2703</v>
      </c>
      <c r="V1742" s="655">
        <v>2021</v>
      </c>
      <c r="W1742" s="659"/>
      <c r="X1742" s="660">
        <f t="shared" si="83"/>
        <v>8.8435072142064381</v>
      </c>
      <c r="Y1742" s="661" t="str">
        <f t="shared" si="81"/>
        <v/>
      </c>
      <c r="Z1742" s="661" t="str">
        <f t="shared" si="82"/>
        <v/>
      </c>
    </row>
    <row r="1743" spans="1:26" s="128" customFormat="1">
      <c r="A1743" s="655">
        <v>61814</v>
      </c>
      <c r="B1743" s="656" t="s">
        <v>33</v>
      </c>
      <c r="C1743" s="655" t="s">
        <v>2793</v>
      </c>
      <c r="D1743" s="656" t="s">
        <v>2388</v>
      </c>
      <c r="E1743" s="656" t="s">
        <v>2389</v>
      </c>
      <c r="F1743" s="655">
        <v>61428</v>
      </c>
      <c r="G1743" s="656" t="s">
        <v>81</v>
      </c>
      <c r="H1743" s="656" t="s">
        <v>1183</v>
      </c>
      <c r="I1743" s="656" t="s">
        <v>58</v>
      </c>
      <c r="J1743" s="655">
        <v>22</v>
      </c>
      <c r="K1743" s="655">
        <v>2</v>
      </c>
      <c r="L1743" s="656" t="s">
        <v>52</v>
      </c>
      <c r="M1743" s="656" t="s">
        <v>448</v>
      </c>
      <c r="N1743" s="656" t="s">
        <v>449</v>
      </c>
      <c r="O1743" s="656" t="s">
        <v>449</v>
      </c>
      <c r="P1743" s="656" t="s">
        <v>1176</v>
      </c>
      <c r="Q1743" s="657">
        <v>0</v>
      </c>
      <c r="R1743" s="657">
        <v>0</v>
      </c>
      <c r="S1743" s="657">
        <v>58610</v>
      </c>
      <c r="T1743" s="657">
        <v>58610</v>
      </c>
      <c r="U1743" s="657">
        <v>6628</v>
      </c>
      <c r="V1743" s="655">
        <v>2021</v>
      </c>
      <c r="W1743" s="659"/>
      <c r="X1743" s="660">
        <f t="shared" si="83"/>
        <v>8.8427881713940852</v>
      </c>
      <c r="Y1743" s="661" t="str">
        <f t="shared" si="81"/>
        <v/>
      </c>
      <c r="Z1743" s="661" t="str">
        <f t="shared" si="82"/>
        <v/>
      </c>
    </row>
    <row r="1744" spans="1:26" s="128" customFormat="1">
      <c r="A1744" s="655">
        <v>61815</v>
      </c>
      <c r="B1744" s="656" t="s">
        <v>33</v>
      </c>
      <c r="C1744" s="655" t="s">
        <v>2793</v>
      </c>
      <c r="D1744" s="656" t="s">
        <v>2390</v>
      </c>
      <c r="E1744" s="656" t="s">
        <v>2391</v>
      </c>
      <c r="F1744" s="655">
        <v>61426</v>
      </c>
      <c r="G1744" s="656" t="s">
        <v>81</v>
      </c>
      <c r="H1744" s="656" t="s">
        <v>1183</v>
      </c>
      <c r="I1744" s="656" t="s">
        <v>58</v>
      </c>
      <c r="J1744" s="655">
        <v>22</v>
      </c>
      <c r="K1744" s="655">
        <v>2</v>
      </c>
      <c r="L1744" s="656" t="s">
        <v>52</v>
      </c>
      <c r="M1744" s="656" t="s">
        <v>448</v>
      </c>
      <c r="N1744" s="656" t="s">
        <v>449</v>
      </c>
      <c r="O1744" s="656" t="s">
        <v>449</v>
      </c>
      <c r="P1744" s="656" t="s">
        <v>1176</v>
      </c>
      <c r="Q1744" s="657">
        <v>0</v>
      </c>
      <c r="R1744" s="657">
        <v>0</v>
      </c>
      <c r="S1744" s="657">
        <v>33074</v>
      </c>
      <c r="T1744" s="657">
        <v>33074</v>
      </c>
      <c r="U1744" s="657">
        <v>3740</v>
      </c>
      <c r="V1744" s="655">
        <v>2021</v>
      </c>
      <c r="W1744" s="659"/>
      <c r="X1744" s="660">
        <f t="shared" si="83"/>
        <v>8.8433155080213908</v>
      </c>
      <c r="Y1744" s="661" t="str">
        <f t="shared" si="81"/>
        <v/>
      </c>
      <c r="Z1744" s="661" t="str">
        <f t="shared" si="82"/>
        <v/>
      </c>
    </row>
    <row r="1745" spans="1:26" s="128" customFormat="1" ht="25" hidden="1">
      <c r="A1745" s="655">
        <v>61820</v>
      </c>
      <c r="B1745" s="656" t="s">
        <v>33</v>
      </c>
      <c r="C1745" s="655" t="s">
        <v>2793</v>
      </c>
      <c r="D1745" s="656" t="s">
        <v>2279</v>
      </c>
      <c r="E1745" s="656" t="s">
        <v>2280</v>
      </c>
      <c r="F1745" s="655">
        <v>57389</v>
      </c>
      <c r="G1745" s="656" t="s">
        <v>41</v>
      </c>
      <c r="H1745" s="656" t="s">
        <v>1183</v>
      </c>
      <c r="I1745" s="656" t="s">
        <v>58</v>
      </c>
      <c r="J1745" s="655">
        <v>441</v>
      </c>
      <c r="K1745" s="655">
        <v>4</v>
      </c>
      <c r="L1745" s="656" t="s">
        <v>412</v>
      </c>
      <c r="M1745" s="656" t="s">
        <v>1255</v>
      </c>
      <c r="N1745" s="656" t="s">
        <v>39</v>
      </c>
      <c r="O1745" s="656" t="s">
        <v>39</v>
      </c>
      <c r="P1745" s="656" t="s">
        <v>1037</v>
      </c>
      <c r="Q1745" s="657">
        <v>13156</v>
      </c>
      <c r="R1745" s="657">
        <v>13156</v>
      </c>
      <c r="S1745" s="657">
        <v>13642</v>
      </c>
      <c r="T1745" s="657">
        <v>13642</v>
      </c>
      <c r="U1745" s="657">
        <v>1734</v>
      </c>
      <c r="V1745" s="655">
        <v>2021</v>
      </c>
      <c r="W1745" s="659"/>
      <c r="X1745" s="660" t="str">
        <f t="shared" si="83"/>
        <v/>
      </c>
      <c r="Y1745" s="661" t="str">
        <f t="shared" si="81"/>
        <v/>
      </c>
      <c r="Z1745" s="661" t="str">
        <f t="shared" si="82"/>
        <v/>
      </c>
    </row>
    <row r="1746" spans="1:26" s="128" customFormat="1" ht="25" hidden="1">
      <c r="A1746" s="655">
        <v>61820</v>
      </c>
      <c r="B1746" s="656" t="s">
        <v>33</v>
      </c>
      <c r="C1746" s="655" t="s">
        <v>2793</v>
      </c>
      <c r="D1746" s="656" t="s">
        <v>2279</v>
      </c>
      <c r="E1746" s="656" t="s">
        <v>2280</v>
      </c>
      <c r="F1746" s="655">
        <v>57389</v>
      </c>
      <c r="G1746" s="656" t="s">
        <v>41</v>
      </c>
      <c r="H1746" s="656" t="s">
        <v>1183</v>
      </c>
      <c r="I1746" s="656" t="s">
        <v>58</v>
      </c>
      <c r="J1746" s="655">
        <v>441</v>
      </c>
      <c r="K1746" s="655">
        <v>4</v>
      </c>
      <c r="L1746" s="656" t="s">
        <v>412</v>
      </c>
      <c r="M1746" s="656" t="s">
        <v>448</v>
      </c>
      <c r="N1746" s="656" t="s">
        <v>449</v>
      </c>
      <c r="O1746" s="656" t="s">
        <v>449</v>
      </c>
      <c r="P1746" s="656" t="s">
        <v>1176</v>
      </c>
      <c r="Q1746" s="657">
        <v>0</v>
      </c>
      <c r="R1746" s="657">
        <v>0</v>
      </c>
      <c r="S1746" s="657">
        <v>2439</v>
      </c>
      <c r="T1746" s="657">
        <v>2439</v>
      </c>
      <c r="U1746" s="657">
        <v>276</v>
      </c>
      <c r="V1746" s="655">
        <v>2021</v>
      </c>
      <c r="W1746" s="659"/>
      <c r="X1746" s="660" t="str">
        <f t="shared" si="83"/>
        <v/>
      </c>
      <c r="Y1746" s="661" t="str">
        <f t="shared" si="81"/>
        <v/>
      </c>
      <c r="Z1746" s="661" t="str">
        <f t="shared" si="82"/>
        <v/>
      </c>
    </row>
    <row r="1747" spans="1:26" s="128" customFormat="1" hidden="1">
      <c r="A1747" s="655">
        <v>61840</v>
      </c>
      <c r="B1747" s="656" t="s">
        <v>33</v>
      </c>
      <c r="C1747" s="655" t="s">
        <v>2793</v>
      </c>
      <c r="D1747" s="656" t="s">
        <v>2834</v>
      </c>
      <c r="E1747" s="656" t="s">
        <v>3388</v>
      </c>
      <c r="F1747" s="655">
        <v>60496</v>
      </c>
      <c r="G1747" s="656" t="s">
        <v>131</v>
      </c>
      <c r="H1747" s="656" t="s">
        <v>1183</v>
      </c>
      <c r="I1747" s="656" t="s">
        <v>58</v>
      </c>
      <c r="J1747" s="655">
        <v>22</v>
      </c>
      <c r="K1747" s="655">
        <v>2</v>
      </c>
      <c r="L1747" s="656" t="s">
        <v>52</v>
      </c>
      <c r="M1747" s="656" t="s">
        <v>448</v>
      </c>
      <c r="N1747" s="656" t="s">
        <v>449</v>
      </c>
      <c r="O1747" s="656" t="s">
        <v>449</v>
      </c>
      <c r="P1747" s="656" t="s">
        <v>1176</v>
      </c>
      <c r="Q1747" s="657">
        <v>0</v>
      </c>
      <c r="R1747" s="657">
        <v>0</v>
      </c>
      <c r="S1747" s="657">
        <v>137560</v>
      </c>
      <c r="T1747" s="657">
        <v>137560</v>
      </c>
      <c r="U1747" s="657">
        <v>15556</v>
      </c>
      <c r="V1747" s="655">
        <v>2021</v>
      </c>
      <c r="W1747" s="659"/>
      <c r="X1747" s="660">
        <f t="shared" si="83"/>
        <v>8.8428902031370527</v>
      </c>
      <c r="Y1747" s="661" t="str">
        <f t="shared" si="81"/>
        <v/>
      </c>
      <c r="Z1747" s="661" t="str">
        <f t="shared" si="82"/>
        <v/>
      </c>
    </row>
    <row r="1748" spans="1:26" s="128" customFormat="1" hidden="1">
      <c r="A1748" s="655">
        <v>61847</v>
      </c>
      <c r="B1748" s="656" t="s">
        <v>33</v>
      </c>
      <c r="C1748" s="655" t="s">
        <v>2793</v>
      </c>
      <c r="D1748" s="656" t="s">
        <v>2392</v>
      </c>
      <c r="E1748" s="656" t="s">
        <v>2036</v>
      </c>
      <c r="F1748" s="655">
        <v>60584</v>
      </c>
      <c r="G1748" s="656" t="s">
        <v>57</v>
      </c>
      <c r="H1748" s="656" t="s">
        <v>1182</v>
      </c>
      <c r="I1748" s="656" t="s">
        <v>58</v>
      </c>
      <c r="J1748" s="655">
        <v>22</v>
      </c>
      <c r="K1748" s="655">
        <v>2</v>
      </c>
      <c r="L1748" s="656" t="s">
        <v>52</v>
      </c>
      <c r="M1748" s="656" t="s">
        <v>448</v>
      </c>
      <c r="N1748" s="656" t="s">
        <v>449</v>
      </c>
      <c r="O1748" s="656" t="s">
        <v>449</v>
      </c>
      <c r="P1748" s="656" t="s">
        <v>1176</v>
      </c>
      <c r="Q1748" s="657">
        <v>0</v>
      </c>
      <c r="R1748" s="657">
        <v>0</v>
      </c>
      <c r="S1748" s="657">
        <v>27883</v>
      </c>
      <c r="T1748" s="657">
        <v>27883</v>
      </c>
      <c r="U1748" s="657">
        <v>3153</v>
      </c>
      <c r="V1748" s="655">
        <v>2021</v>
      </c>
      <c r="W1748" s="659"/>
      <c r="X1748" s="660">
        <f t="shared" si="83"/>
        <v>8.8433238185854748</v>
      </c>
      <c r="Y1748" s="661" t="str">
        <f t="shared" si="81"/>
        <v/>
      </c>
      <c r="Z1748" s="661" t="str">
        <f t="shared" si="82"/>
        <v/>
      </c>
    </row>
    <row r="1749" spans="1:26" s="128" customFormat="1" ht="25" hidden="1">
      <c r="A1749" s="655">
        <v>61857</v>
      </c>
      <c r="B1749" s="656" t="s">
        <v>54</v>
      </c>
      <c r="C1749" s="655" t="s">
        <v>2793</v>
      </c>
      <c r="D1749" s="656" t="s">
        <v>2281</v>
      </c>
      <c r="E1749" s="656" t="s">
        <v>2282</v>
      </c>
      <c r="F1749" s="655">
        <v>61478</v>
      </c>
      <c r="G1749" s="656" t="s">
        <v>131</v>
      </c>
      <c r="H1749" s="656" t="s">
        <v>1183</v>
      </c>
      <c r="I1749" s="656" t="s">
        <v>58</v>
      </c>
      <c r="J1749" s="655">
        <v>326</v>
      </c>
      <c r="K1749" s="655">
        <v>7</v>
      </c>
      <c r="L1749" s="656" t="s">
        <v>409</v>
      </c>
      <c r="M1749" s="656" t="s">
        <v>50</v>
      </c>
      <c r="N1749" s="656" t="s">
        <v>46</v>
      </c>
      <c r="O1749" s="656" t="s">
        <v>46</v>
      </c>
      <c r="P1749" s="656" t="s">
        <v>47</v>
      </c>
      <c r="Q1749" s="657">
        <v>715</v>
      </c>
      <c r="R1749" s="657">
        <v>620</v>
      </c>
      <c r="S1749" s="657">
        <v>4290</v>
      </c>
      <c r="T1749" s="657">
        <v>3714</v>
      </c>
      <c r="U1749" s="657">
        <v>320.10300000000001</v>
      </c>
      <c r="V1749" s="655">
        <v>2021</v>
      </c>
      <c r="W1749" s="659"/>
      <c r="X1749" s="660" t="str">
        <f t="shared" si="83"/>
        <v/>
      </c>
      <c r="Y1749" s="661" t="str">
        <f t="shared" si="81"/>
        <v/>
      </c>
      <c r="Z1749" s="661">
        <f t="shared" si="82"/>
        <v>6.2046001165597051</v>
      </c>
    </row>
    <row r="1750" spans="1:26" s="128" customFormat="1" ht="25" hidden="1">
      <c r="A1750" s="655">
        <v>61857</v>
      </c>
      <c r="B1750" s="656" t="s">
        <v>54</v>
      </c>
      <c r="C1750" s="655" t="s">
        <v>2793</v>
      </c>
      <c r="D1750" s="656" t="s">
        <v>2281</v>
      </c>
      <c r="E1750" s="656" t="s">
        <v>2282</v>
      </c>
      <c r="F1750" s="655">
        <v>61478</v>
      </c>
      <c r="G1750" s="656" t="s">
        <v>131</v>
      </c>
      <c r="H1750" s="656" t="s">
        <v>1183</v>
      </c>
      <c r="I1750" s="656" t="s">
        <v>58</v>
      </c>
      <c r="J1750" s="655">
        <v>326</v>
      </c>
      <c r="K1750" s="655">
        <v>7</v>
      </c>
      <c r="L1750" s="656" t="s">
        <v>409</v>
      </c>
      <c r="M1750" s="656" t="s">
        <v>50</v>
      </c>
      <c r="N1750" s="656" t="s">
        <v>39</v>
      </c>
      <c r="O1750" s="656" t="s">
        <v>39</v>
      </c>
      <c r="P1750" s="656" t="s">
        <v>1037</v>
      </c>
      <c r="Q1750" s="657">
        <v>776389</v>
      </c>
      <c r="R1750" s="657">
        <v>672317</v>
      </c>
      <c r="S1750" s="657">
        <v>776389</v>
      </c>
      <c r="T1750" s="657">
        <v>672317</v>
      </c>
      <c r="U1750" s="657">
        <v>57931.097000000002</v>
      </c>
      <c r="V1750" s="655">
        <v>2021</v>
      </c>
      <c r="W1750" s="659"/>
      <c r="X1750" s="660" t="str">
        <f t="shared" si="83"/>
        <v/>
      </c>
      <c r="Y1750" s="661">
        <f t="shared" si="81"/>
        <v>6.2046011635486868</v>
      </c>
      <c r="Z1750" s="661" t="str">
        <f t="shared" si="82"/>
        <v/>
      </c>
    </row>
    <row r="1751" spans="1:26" s="128" customFormat="1" ht="25" hidden="1">
      <c r="A1751" s="655">
        <v>61857</v>
      </c>
      <c r="B1751" s="656" t="s">
        <v>54</v>
      </c>
      <c r="C1751" s="655" t="s">
        <v>2793</v>
      </c>
      <c r="D1751" s="656" t="s">
        <v>2281</v>
      </c>
      <c r="E1751" s="656" t="s">
        <v>2282</v>
      </c>
      <c r="F1751" s="655">
        <v>61478</v>
      </c>
      <c r="G1751" s="656" t="s">
        <v>131</v>
      </c>
      <c r="H1751" s="656" t="s">
        <v>1183</v>
      </c>
      <c r="I1751" s="656" t="s">
        <v>58</v>
      </c>
      <c r="J1751" s="655">
        <v>326</v>
      </c>
      <c r="K1751" s="655">
        <v>7</v>
      </c>
      <c r="L1751" s="656" t="s">
        <v>409</v>
      </c>
      <c r="M1751" s="656" t="s">
        <v>51</v>
      </c>
      <c r="N1751" s="656" t="s">
        <v>39</v>
      </c>
      <c r="O1751" s="656" t="s">
        <v>39</v>
      </c>
      <c r="P1751" s="656" t="s">
        <v>1037</v>
      </c>
      <c r="Q1751" s="657">
        <v>851021</v>
      </c>
      <c r="R1751" s="657">
        <v>851021</v>
      </c>
      <c r="S1751" s="657">
        <v>851021</v>
      </c>
      <c r="T1751" s="657">
        <v>851021</v>
      </c>
      <c r="U1751" s="657">
        <v>97118.98</v>
      </c>
      <c r="V1751" s="655">
        <v>2021</v>
      </c>
      <c r="W1751" s="659"/>
      <c r="X1751" s="660" t="str">
        <f t="shared" si="83"/>
        <v/>
      </c>
      <c r="Y1751" s="661" t="str">
        <f t="shared" si="81"/>
        <v/>
      </c>
      <c r="Z1751" s="661" t="str">
        <f t="shared" si="82"/>
        <v/>
      </c>
    </row>
    <row r="1752" spans="1:26" s="128" customFormat="1" hidden="1">
      <c r="A1752" s="655">
        <v>61863</v>
      </c>
      <c r="B1752" s="656" t="s">
        <v>33</v>
      </c>
      <c r="C1752" s="655" t="s">
        <v>2793</v>
      </c>
      <c r="D1752" s="656" t="s">
        <v>2393</v>
      </c>
      <c r="E1752" s="656" t="s">
        <v>2036</v>
      </c>
      <c r="F1752" s="655">
        <v>60584</v>
      </c>
      <c r="G1752" s="656" t="s">
        <v>57</v>
      </c>
      <c r="H1752" s="656" t="s">
        <v>1182</v>
      </c>
      <c r="I1752" s="656" t="s">
        <v>58</v>
      </c>
      <c r="J1752" s="655">
        <v>22</v>
      </c>
      <c r="K1752" s="655">
        <v>2</v>
      </c>
      <c r="L1752" s="656" t="s">
        <v>52</v>
      </c>
      <c r="M1752" s="656" t="s">
        <v>448</v>
      </c>
      <c r="N1752" s="656" t="s">
        <v>449</v>
      </c>
      <c r="O1752" s="656" t="s">
        <v>449</v>
      </c>
      <c r="P1752" s="656" t="s">
        <v>1176</v>
      </c>
      <c r="Q1752" s="657">
        <v>0</v>
      </c>
      <c r="R1752" s="657">
        <v>0</v>
      </c>
      <c r="S1752" s="657">
        <v>27573</v>
      </c>
      <c r="T1752" s="657">
        <v>27573</v>
      </c>
      <c r="U1752" s="657">
        <v>3118</v>
      </c>
      <c r="V1752" s="655">
        <v>2021</v>
      </c>
      <c r="W1752" s="659"/>
      <c r="X1752" s="660">
        <f t="shared" si="83"/>
        <v>8.8431686978832591</v>
      </c>
      <c r="Y1752" s="661" t="str">
        <f t="shared" si="81"/>
        <v/>
      </c>
      <c r="Z1752" s="661" t="str">
        <f t="shared" si="82"/>
        <v/>
      </c>
    </row>
    <row r="1753" spans="1:26" s="128" customFormat="1" hidden="1">
      <c r="A1753" s="655">
        <v>61888</v>
      </c>
      <c r="B1753" s="656" t="s">
        <v>33</v>
      </c>
      <c r="C1753" s="655" t="s">
        <v>2793</v>
      </c>
      <c r="D1753" s="656" t="s">
        <v>2394</v>
      </c>
      <c r="E1753" s="656" t="s">
        <v>2036</v>
      </c>
      <c r="F1753" s="655">
        <v>60584</v>
      </c>
      <c r="G1753" s="656" t="s">
        <v>57</v>
      </c>
      <c r="H1753" s="656" t="s">
        <v>1182</v>
      </c>
      <c r="I1753" s="656" t="s">
        <v>58</v>
      </c>
      <c r="J1753" s="655">
        <v>22</v>
      </c>
      <c r="K1753" s="655">
        <v>2</v>
      </c>
      <c r="L1753" s="656" t="s">
        <v>52</v>
      </c>
      <c r="M1753" s="656" t="s">
        <v>448</v>
      </c>
      <c r="N1753" s="656" t="s">
        <v>449</v>
      </c>
      <c r="O1753" s="656" t="s">
        <v>449</v>
      </c>
      <c r="P1753" s="656" t="s">
        <v>1176</v>
      </c>
      <c r="Q1753" s="657">
        <v>0</v>
      </c>
      <c r="R1753" s="657">
        <v>0</v>
      </c>
      <c r="S1753" s="657">
        <v>28280</v>
      </c>
      <c r="T1753" s="657">
        <v>28280</v>
      </c>
      <c r="U1753" s="657">
        <v>3198</v>
      </c>
      <c r="V1753" s="655">
        <v>2021</v>
      </c>
      <c r="W1753" s="659"/>
      <c r="X1753" s="660">
        <f t="shared" si="83"/>
        <v>8.84302689180738</v>
      </c>
      <c r="Y1753" s="661" t="str">
        <f t="shared" si="81"/>
        <v/>
      </c>
      <c r="Z1753" s="661" t="str">
        <f t="shared" si="82"/>
        <v/>
      </c>
    </row>
    <row r="1754" spans="1:26" s="128" customFormat="1" hidden="1">
      <c r="A1754" s="655">
        <v>61898</v>
      </c>
      <c r="B1754" s="656" t="s">
        <v>33</v>
      </c>
      <c r="C1754" s="655" t="s">
        <v>2793</v>
      </c>
      <c r="D1754" s="656" t="s">
        <v>2395</v>
      </c>
      <c r="E1754" s="656" t="s">
        <v>1944</v>
      </c>
      <c r="F1754" s="655">
        <v>59474</v>
      </c>
      <c r="G1754" s="656" t="s">
        <v>57</v>
      </c>
      <c r="H1754" s="656" t="s">
        <v>1182</v>
      </c>
      <c r="I1754" s="656" t="s">
        <v>58</v>
      </c>
      <c r="J1754" s="655">
        <v>22</v>
      </c>
      <c r="K1754" s="655">
        <v>2</v>
      </c>
      <c r="L1754" s="656" t="s">
        <v>52</v>
      </c>
      <c r="M1754" s="656" t="s">
        <v>448</v>
      </c>
      <c r="N1754" s="656" t="s">
        <v>449</v>
      </c>
      <c r="O1754" s="656" t="s">
        <v>449</v>
      </c>
      <c r="P1754" s="656" t="s">
        <v>1176</v>
      </c>
      <c r="Q1754" s="657">
        <v>0</v>
      </c>
      <c r="R1754" s="657">
        <v>0</v>
      </c>
      <c r="S1754" s="657">
        <v>53748</v>
      </c>
      <c r="T1754" s="657">
        <v>53748</v>
      </c>
      <c r="U1754" s="657">
        <v>6078</v>
      </c>
      <c r="V1754" s="655">
        <v>2021</v>
      </c>
      <c r="W1754" s="659"/>
      <c r="X1754" s="660">
        <f t="shared" si="83"/>
        <v>8.8430404738400785</v>
      </c>
      <c r="Y1754" s="661" t="str">
        <f t="shared" si="81"/>
        <v/>
      </c>
      <c r="Z1754" s="661" t="str">
        <f t="shared" si="82"/>
        <v/>
      </c>
    </row>
    <row r="1755" spans="1:26" s="128" customFormat="1" ht="25" hidden="1">
      <c r="A1755" s="655">
        <v>61899</v>
      </c>
      <c r="B1755" s="656" t="s">
        <v>33</v>
      </c>
      <c r="C1755" s="655" t="s">
        <v>2793</v>
      </c>
      <c r="D1755" s="656" t="s">
        <v>2396</v>
      </c>
      <c r="E1755" s="656" t="s">
        <v>3141</v>
      </c>
      <c r="F1755" s="655">
        <v>63970</v>
      </c>
      <c r="G1755" s="656" t="s">
        <v>57</v>
      </c>
      <c r="H1755" s="656" t="s">
        <v>1182</v>
      </c>
      <c r="I1755" s="656" t="s">
        <v>58</v>
      </c>
      <c r="J1755" s="655">
        <v>22</v>
      </c>
      <c r="K1755" s="655">
        <v>2</v>
      </c>
      <c r="L1755" s="656" t="s">
        <v>52</v>
      </c>
      <c r="M1755" s="656" t="s">
        <v>448</v>
      </c>
      <c r="N1755" s="656" t="s">
        <v>449</v>
      </c>
      <c r="O1755" s="656" t="s">
        <v>449</v>
      </c>
      <c r="P1755" s="656" t="s">
        <v>1176</v>
      </c>
      <c r="Q1755" s="657">
        <v>0</v>
      </c>
      <c r="R1755" s="657">
        <v>0</v>
      </c>
      <c r="S1755" s="657">
        <v>27733</v>
      </c>
      <c r="T1755" s="657">
        <v>27733</v>
      </c>
      <c r="U1755" s="657">
        <v>3136</v>
      </c>
      <c r="V1755" s="655">
        <v>2021</v>
      </c>
      <c r="W1755" s="659"/>
      <c r="X1755" s="660">
        <f t="shared" si="83"/>
        <v>8.8434311224489797</v>
      </c>
      <c r="Y1755" s="661" t="str">
        <f t="shared" si="81"/>
        <v/>
      </c>
      <c r="Z1755" s="661" t="str">
        <f t="shared" si="82"/>
        <v/>
      </c>
    </row>
    <row r="1756" spans="1:26" s="128" customFormat="1" ht="25" hidden="1">
      <c r="A1756" s="655">
        <v>61900</v>
      </c>
      <c r="B1756" s="656" t="s">
        <v>33</v>
      </c>
      <c r="C1756" s="655" t="s">
        <v>2793</v>
      </c>
      <c r="D1756" s="656" t="s">
        <v>2397</v>
      </c>
      <c r="E1756" s="656" t="s">
        <v>3141</v>
      </c>
      <c r="F1756" s="655">
        <v>63970</v>
      </c>
      <c r="G1756" s="656" t="s">
        <v>57</v>
      </c>
      <c r="H1756" s="656" t="s">
        <v>1182</v>
      </c>
      <c r="I1756" s="656" t="s">
        <v>58</v>
      </c>
      <c r="J1756" s="655">
        <v>22</v>
      </c>
      <c r="K1756" s="655">
        <v>2</v>
      </c>
      <c r="L1756" s="656" t="s">
        <v>52</v>
      </c>
      <c r="M1756" s="656" t="s">
        <v>448</v>
      </c>
      <c r="N1756" s="656" t="s">
        <v>449</v>
      </c>
      <c r="O1756" s="656" t="s">
        <v>449</v>
      </c>
      <c r="P1756" s="656" t="s">
        <v>1176</v>
      </c>
      <c r="Q1756" s="657">
        <v>0</v>
      </c>
      <c r="R1756" s="657">
        <v>0</v>
      </c>
      <c r="S1756" s="657">
        <v>21506</v>
      </c>
      <c r="T1756" s="657">
        <v>21506</v>
      </c>
      <c r="U1756" s="657">
        <v>2432</v>
      </c>
      <c r="V1756" s="655">
        <v>2021</v>
      </c>
      <c r="W1756" s="659"/>
      <c r="X1756" s="660">
        <f t="shared" si="83"/>
        <v>8.8429276315789469</v>
      </c>
      <c r="Y1756" s="661" t="str">
        <f t="shared" si="81"/>
        <v/>
      </c>
      <c r="Z1756" s="661" t="str">
        <f t="shared" si="82"/>
        <v/>
      </c>
    </row>
    <row r="1757" spans="1:26" s="128" customFormat="1" ht="25" hidden="1">
      <c r="A1757" s="655">
        <v>61902</v>
      </c>
      <c r="B1757" s="656" t="s">
        <v>33</v>
      </c>
      <c r="C1757" s="655" t="s">
        <v>2793</v>
      </c>
      <c r="D1757" s="656" t="s">
        <v>2398</v>
      </c>
      <c r="E1757" s="656" t="s">
        <v>3141</v>
      </c>
      <c r="F1757" s="655">
        <v>63970</v>
      </c>
      <c r="G1757" s="656" t="s">
        <v>57</v>
      </c>
      <c r="H1757" s="656" t="s">
        <v>1182</v>
      </c>
      <c r="I1757" s="656" t="s">
        <v>58</v>
      </c>
      <c r="J1757" s="655">
        <v>22</v>
      </c>
      <c r="K1757" s="655">
        <v>2</v>
      </c>
      <c r="L1757" s="656" t="s">
        <v>52</v>
      </c>
      <c r="M1757" s="656" t="s">
        <v>448</v>
      </c>
      <c r="N1757" s="656" t="s">
        <v>449</v>
      </c>
      <c r="O1757" s="656" t="s">
        <v>449</v>
      </c>
      <c r="P1757" s="656" t="s">
        <v>1176</v>
      </c>
      <c r="Q1757" s="657">
        <v>0</v>
      </c>
      <c r="R1757" s="657">
        <v>0</v>
      </c>
      <c r="S1757" s="657">
        <v>18092</v>
      </c>
      <c r="T1757" s="657">
        <v>18092</v>
      </c>
      <c r="U1757" s="657">
        <v>2046</v>
      </c>
      <c r="V1757" s="655">
        <v>2021</v>
      </c>
      <c r="W1757" s="659"/>
      <c r="X1757" s="660">
        <f t="shared" si="83"/>
        <v>8.8426197458455515</v>
      </c>
      <c r="Y1757" s="661" t="str">
        <f t="shared" si="81"/>
        <v/>
      </c>
      <c r="Z1757" s="661" t="str">
        <f t="shared" si="82"/>
        <v/>
      </c>
    </row>
    <row r="1758" spans="1:26" s="128" customFormat="1" hidden="1">
      <c r="A1758" s="655">
        <v>61903</v>
      </c>
      <c r="B1758" s="656" t="s">
        <v>33</v>
      </c>
      <c r="C1758" s="655" t="s">
        <v>2793</v>
      </c>
      <c r="D1758" s="656" t="s">
        <v>2399</v>
      </c>
      <c r="E1758" s="656" t="s">
        <v>2036</v>
      </c>
      <c r="F1758" s="655">
        <v>60584</v>
      </c>
      <c r="G1758" s="656" t="s">
        <v>57</v>
      </c>
      <c r="H1758" s="656" t="s">
        <v>1182</v>
      </c>
      <c r="I1758" s="656" t="s">
        <v>58</v>
      </c>
      <c r="J1758" s="655">
        <v>22</v>
      </c>
      <c r="K1758" s="655">
        <v>2</v>
      </c>
      <c r="L1758" s="656" t="s">
        <v>52</v>
      </c>
      <c r="M1758" s="656" t="s">
        <v>448</v>
      </c>
      <c r="N1758" s="656" t="s">
        <v>449</v>
      </c>
      <c r="O1758" s="656" t="s">
        <v>449</v>
      </c>
      <c r="P1758" s="656" t="s">
        <v>1176</v>
      </c>
      <c r="Q1758" s="657">
        <v>0</v>
      </c>
      <c r="R1758" s="657">
        <v>0</v>
      </c>
      <c r="S1758" s="657">
        <v>26176</v>
      </c>
      <c r="T1758" s="657">
        <v>26176</v>
      </c>
      <c r="U1758" s="657">
        <v>2960</v>
      </c>
      <c r="V1758" s="655">
        <v>2021</v>
      </c>
      <c r="W1758" s="659"/>
      <c r="X1758" s="660">
        <f t="shared" si="83"/>
        <v>8.8432432432432435</v>
      </c>
      <c r="Y1758" s="661" t="str">
        <f t="shared" si="81"/>
        <v/>
      </c>
      <c r="Z1758" s="661" t="str">
        <f t="shared" si="82"/>
        <v/>
      </c>
    </row>
    <row r="1759" spans="1:26" s="128" customFormat="1" hidden="1">
      <c r="A1759" s="655">
        <v>61904</v>
      </c>
      <c r="B1759" s="656" t="s">
        <v>33</v>
      </c>
      <c r="C1759" s="655" t="s">
        <v>2793</v>
      </c>
      <c r="D1759" s="656" t="s">
        <v>2400</v>
      </c>
      <c r="E1759" s="656" t="s">
        <v>2036</v>
      </c>
      <c r="F1759" s="655">
        <v>60584</v>
      </c>
      <c r="G1759" s="656" t="s">
        <v>57</v>
      </c>
      <c r="H1759" s="656" t="s">
        <v>1182</v>
      </c>
      <c r="I1759" s="656" t="s">
        <v>58</v>
      </c>
      <c r="J1759" s="655">
        <v>22</v>
      </c>
      <c r="K1759" s="655">
        <v>2</v>
      </c>
      <c r="L1759" s="656" t="s">
        <v>52</v>
      </c>
      <c r="M1759" s="656" t="s">
        <v>448</v>
      </c>
      <c r="N1759" s="656" t="s">
        <v>449</v>
      </c>
      <c r="O1759" s="656" t="s">
        <v>449</v>
      </c>
      <c r="P1759" s="656" t="s">
        <v>1176</v>
      </c>
      <c r="Q1759" s="657">
        <v>0</v>
      </c>
      <c r="R1759" s="657">
        <v>0</v>
      </c>
      <c r="S1759" s="657">
        <v>27810</v>
      </c>
      <c r="T1759" s="657">
        <v>27810</v>
      </c>
      <c r="U1759" s="657">
        <v>3145</v>
      </c>
      <c r="V1759" s="655">
        <v>2021</v>
      </c>
      <c r="W1759" s="659"/>
      <c r="X1759" s="660">
        <f t="shared" si="83"/>
        <v>8.8426073131955487</v>
      </c>
      <c r="Y1759" s="661" t="str">
        <f t="shared" si="81"/>
        <v/>
      </c>
      <c r="Z1759" s="661" t="str">
        <f t="shared" si="82"/>
        <v/>
      </c>
    </row>
    <row r="1760" spans="1:26" s="128" customFormat="1" hidden="1">
      <c r="A1760" s="655">
        <v>61905</v>
      </c>
      <c r="B1760" s="656" t="s">
        <v>33</v>
      </c>
      <c r="C1760" s="655" t="s">
        <v>2793</v>
      </c>
      <c r="D1760" s="656" t="s">
        <v>2401</v>
      </c>
      <c r="E1760" s="656" t="s">
        <v>2036</v>
      </c>
      <c r="F1760" s="655">
        <v>60584</v>
      </c>
      <c r="G1760" s="656" t="s">
        <v>57</v>
      </c>
      <c r="H1760" s="656" t="s">
        <v>1182</v>
      </c>
      <c r="I1760" s="656" t="s">
        <v>58</v>
      </c>
      <c r="J1760" s="655">
        <v>22</v>
      </c>
      <c r="K1760" s="655">
        <v>2</v>
      </c>
      <c r="L1760" s="656" t="s">
        <v>52</v>
      </c>
      <c r="M1760" s="656" t="s">
        <v>448</v>
      </c>
      <c r="N1760" s="656" t="s">
        <v>449</v>
      </c>
      <c r="O1760" s="656" t="s">
        <v>449</v>
      </c>
      <c r="P1760" s="656" t="s">
        <v>1176</v>
      </c>
      <c r="Q1760" s="657">
        <v>0</v>
      </c>
      <c r="R1760" s="657">
        <v>0</v>
      </c>
      <c r="S1760" s="657">
        <v>29494</v>
      </c>
      <c r="T1760" s="657">
        <v>29494</v>
      </c>
      <c r="U1760" s="657">
        <v>3335</v>
      </c>
      <c r="V1760" s="655">
        <v>2021</v>
      </c>
      <c r="W1760" s="659"/>
      <c r="X1760" s="660">
        <f t="shared" si="83"/>
        <v>8.8437781109445286</v>
      </c>
      <c r="Y1760" s="661" t="str">
        <f t="shared" si="81"/>
        <v/>
      </c>
      <c r="Z1760" s="661" t="str">
        <f t="shared" si="82"/>
        <v/>
      </c>
    </row>
    <row r="1761" spans="1:26" s="128" customFormat="1" ht="25" hidden="1">
      <c r="A1761" s="655">
        <v>61917</v>
      </c>
      <c r="B1761" s="656" t="s">
        <v>33</v>
      </c>
      <c r="C1761" s="655" t="s">
        <v>2793</v>
      </c>
      <c r="D1761" s="656" t="s">
        <v>2402</v>
      </c>
      <c r="E1761" s="656" t="s">
        <v>2403</v>
      </c>
      <c r="F1761" s="655">
        <v>61520</v>
      </c>
      <c r="G1761" s="656" t="s">
        <v>57</v>
      </c>
      <c r="H1761" s="656" t="s">
        <v>1182</v>
      </c>
      <c r="I1761" s="656" t="s">
        <v>58</v>
      </c>
      <c r="J1761" s="655">
        <v>22</v>
      </c>
      <c r="K1761" s="655">
        <v>2</v>
      </c>
      <c r="L1761" s="656" t="s">
        <v>52</v>
      </c>
      <c r="M1761" s="656" t="s">
        <v>448</v>
      </c>
      <c r="N1761" s="656" t="s">
        <v>449</v>
      </c>
      <c r="O1761" s="656" t="s">
        <v>449</v>
      </c>
      <c r="P1761" s="656" t="s">
        <v>1176</v>
      </c>
      <c r="Q1761" s="657">
        <v>0</v>
      </c>
      <c r="R1761" s="657">
        <v>0</v>
      </c>
      <c r="S1761" s="657">
        <v>19234</v>
      </c>
      <c r="T1761" s="657">
        <v>19234</v>
      </c>
      <c r="U1761" s="657">
        <v>2175</v>
      </c>
      <c r="V1761" s="655">
        <v>2021</v>
      </c>
      <c r="W1761" s="659"/>
      <c r="X1761" s="660">
        <f t="shared" si="83"/>
        <v>8.8432183908045978</v>
      </c>
      <c r="Y1761" s="661" t="str">
        <f t="shared" si="81"/>
        <v/>
      </c>
      <c r="Z1761" s="661" t="str">
        <f t="shared" si="82"/>
        <v/>
      </c>
    </row>
    <row r="1762" spans="1:26" s="128" customFormat="1" hidden="1">
      <c r="A1762" s="655">
        <v>61922</v>
      </c>
      <c r="B1762" s="656" t="s">
        <v>33</v>
      </c>
      <c r="C1762" s="655" t="s">
        <v>2793</v>
      </c>
      <c r="D1762" s="656" t="s">
        <v>2404</v>
      </c>
      <c r="E1762" s="656" t="s">
        <v>1944</v>
      </c>
      <c r="F1762" s="655">
        <v>59474</v>
      </c>
      <c r="G1762" s="656" t="s">
        <v>57</v>
      </c>
      <c r="H1762" s="656" t="s">
        <v>1182</v>
      </c>
      <c r="I1762" s="656" t="s">
        <v>58</v>
      </c>
      <c r="J1762" s="655">
        <v>22</v>
      </c>
      <c r="K1762" s="655">
        <v>2</v>
      </c>
      <c r="L1762" s="656" t="s">
        <v>52</v>
      </c>
      <c r="M1762" s="656" t="s">
        <v>448</v>
      </c>
      <c r="N1762" s="656" t="s">
        <v>449</v>
      </c>
      <c r="O1762" s="656" t="s">
        <v>449</v>
      </c>
      <c r="P1762" s="656" t="s">
        <v>1176</v>
      </c>
      <c r="Q1762" s="657">
        <v>0</v>
      </c>
      <c r="R1762" s="657">
        <v>0</v>
      </c>
      <c r="S1762" s="657">
        <v>31985</v>
      </c>
      <c r="T1762" s="657">
        <v>31985</v>
      </c>
      <c r="U1762" s="657">
        <v>3617</v>
      </c>
      <c r="V1762" s="655">
        <v>2021</v>
      </c>
      <c r="W1762" s="659"/>
      <c r="X1762" s="660">
        <f t="shared" si="83"/>
        <v>8.8429637821398952</v>
      </c>
      <c r="Y1762" s="661" t="str">
        <f t="shared" si="81"/>
        <v/>
      </c>
      <c r="Z1762" s="661" t="str">
        <f t="shared" si="82"/>
        <v/>
      </c>
    </row>
    <row r="1763" spans="1:26" s="128" customFormat="1" hidden="1">
      <c r="A1763" s="655">
        <v>61928</v>
      </c>
      <c r="B1763" s="656" t="s">
        <v>33</v>
      </c>
      <c r="C1763" s="655" t="s">
        <v>2793</v>
      </c>
      <c r="D1763" s="656" t="s">
        <v>2405</v>
      </c>
      <c r="E1763" s="656" t="s">
        <v>2157</v>
      </c>
      <c r="F1763" s="655">
        <v>61060</v>
      </c>
      <c r="G1763" s="656" t="s">
        <v>89</v>
      </c>
      <c r="H1763" s="656" t="s">
        <v>1183</v>
      </c>
      <c r="I1763" s="656" t="s">
        <v>58</v>
      </c>
      <c r="J1763" s="655">
        <v>22</v>
      </c>
      <c r="K1763" s="655">
        <v>2</v>
      </c>
      <c r="L1763" s="656" t="s">
        <v>52</v>
      </c>
      <c r="M1763" s="656" t="s">
        <v>448</v>
      </c>
      <c r="N1763" s="656" t="s">
        <v>449</v>
      </c>
      <c r="O1763" s="656" t="s">
        <v>449</v>
      </c>
      <c r="P1763" s="656" t="s">
        <v>1176</v>
      </c>
      <c r="Q1763" s="657">
        <v>0</v>
      </c>
      <c r="R1763" s="657">
        <v>0</v>
      </c>
      <c r="S1763" s="657">
        <v>64854</v>
      </c>
      <c r="T1763" s="657">
        <v>64854</v>
      </c>
      <c r="U1763" s="657">
        <v>7334</v>
      </c>
      <c r="V1763" s="655">
        <v>2021</v>
      </c>
      <c r="W1763" s="659"/>
      <c r="X1763" s="660">
        <f t="shared" si="83"/>
        <v>8.8429233706026729</v>
      </c>
      <c r="Y1763" s="661" t="str">
        <f t="shared" si="81"/>
        <v/>
      </c>
      <c r="Z1763" s="661" t="str">
        <f t="shared" si="82"/>
        <v/>
      </c>
    </row>
    <row r="1764" spans="1:26" s="128" customFormat="1" hidden="1">
      <c r="A1764" s="655">
        <v>61958</v>
      </c>
      <c r="B1764" s="656" t="s">
        <v>33</v>
      </c>
      <c r="C1764" s="655" t="s">
        <v>2793</v>
      </c>
      <c r="D1764" s="656" t="s">
        <v>2406</v>
      </c>
      <c r="E1764" s="656" t="s">
        <v>2210</v>
      </c>
      <c r="F1764" s="655">
        <v>61012</v>
      </c>
      <c r="G1764" s="656" t="s">
        <v>57</v>
      </c>
      <c r="H1764" s="656" t="s">
        <v>1182</v>
      </c>
      <c r="I1764" s="656" t="s">
        <v>58</v>
      </c>
      <c r="J1764" s="655">
        <v>22</v>
      </c>
      <c r="K1764" s="655">
        <v>2</v>
      </c>
      <c r="L1764" s="656" t="s">
        <v>52</v>
      </c>
      <c r="M1764" s="656" t="s">
        <v>448</v>
      </c>
      <c r="N1764" s="656" t="s">
        <v>449</v>
      </c>
      <c r="O1764" s="656" t="s">
        <v>449</v>
      </c>
      <c r="P1764" s="656" t="s">
        <v>1176</v>
      </c>
      <c r="Q1764" s="657">
        <v>0</v>
      </c>
      <c r="R1764" s="657">
        <v>0</v>
      </c>
      <c r="S1764" s="657">
        <v>19146</v>
      </c>
      <c r="T1764" s="657">
        <v>19146</v>
      </c>
      <c r="U1764" s="657">
        <v>2165</v>
      </c>
      <c r="V1764" s="655">
        <v>2021</v>
      </c>
      <c r="W1764" s="659"/>
      <c r="X1764" s="660">
        <f t="shared" si="83"/>
        <v>8.8434180138568124</v>
      </c>
      <c r="Y1764" s="661" t="str">
        <f t="shared" si="81"/>
        <v/>
      </c>
      <c r="Z1764" s="661" t="str">
        <f t="shared" si="82"/>
        <v/>
      </c>
    </row>
    <row r="1765" spans="1:26" s="128" customFormat="1" hidden="1">
      <c r="A1765" s="655">
        <v>61959</v>
      </c>
      <c r="B1765" s="656" t="s">
        <v>33</v>
      </c>
      <c r="C1765" s="655" t="s">
        <v>2793</v>
      </c>
      <c r="D1765" s="656" t="s">
        <v>2407</v>
      </c>
      <c r="E1765" s="656" t="s">
        <v>2408</v>
      </c>
      <c r="F1765" s="655">
        <v>61540</v>
      </c>
      <c r="G1765" s="656" t="s">
        <v>89</v>
      </c>
      <c r="H1765" s="656" t="s">
        <v>1183</v>
      </c>
      <c r="I1765" s="656" t="s">
        <v>58</v>
      </c>
      <c r="J1765" s="655">
        <v>22</v>
      </c>
      <c r="K1765" s="655">
        <v>2</v>
      </c>
      <c r="L1765" s="656" t="s">
        <v>52</v>
      </c>
      <c r="M1765" s="656" t="s">
        <v>448</v>
      </c>
      <c r="N1765" s="656" t="s">
        <v>449</v>
      </c>
      <c r="O1765" s="656" t="s">
        <v>449</v>
      </c>
      <c r="P1765" s="656" t="s">
        <v>1176</v>
      </c>
      <c r="Q1765" s="657">
        <v>0</v>
      </c>
      <c r="R1765" s="657">
        <v>0</v>
      </c>
      <c r="S1765" s="657">
        <v>229547</v>
      </c>
      <c r="T1765" s="657">
        <v>229547</v>
      </c>
      <c r="U1765" s="657">
        <v>25958</v>
      </c>
      <c r="V1765" s="655">
        <v>2021</v>
      </c>
      <c r="W1765" s="659"/>
      <c r="X1765" s="660">
        <f t="shared" si="83"/>
        <v>8.8430156406502807</v>
      </c>
      <c r="Y1765" s="661" t="str">
        <f t="shared" si="81"/>
        <v/>
      </c>
      <c r="Z1765" s="661" t="str">
        <f t="shared" si="82"/>
        <v/>
      </c>
    </row>
    <row r="1766" spans="1:26" s="128" customFormat="1" ht="25" hidden="1">
      <c r="A1766" s="655">
        <v>62001</v>
      </c>
      <c r="B1766" s="656" t="s">
        <v>33</v>
      </c>
      <c r="C1766" s="655" t="s">
        <v>2793</v>
      </c>
      <c r="D1766" s="656" t="s">
        <v>2409</v>
      </c>
      <c r="E1766" s="656" t="s">
        <v>2409</v>
      </c>
      <c r="F1766" s="655">
        <v>61578</v>
      </c>
      <c r="G1766" s="656" t="s">
        <v>57</v>
      </c>
      <c r="H1766" s="656" t="s">
        <v>1182</v>
      </c>
      <c r="I1766" s="656" t="s">
        <v>58</v>
      </c>
      <c r="J1766" s="655">
        <v>622</v>
      </c>
      <c r="K1766" s="655">
        <v>4</v>
      </c>
      <c r="L1766" s="656" t="s">
        <v>412</v>
      </c>
      <c r="M1766" s="656" t="s">
        <v>51</v>
      </c>
      <c r="N1766" s="656" t="s">
        <v>46</v>
      </c>
      <c r="O1766" s="656" t="s">
        <v>46</v>
      </c>
      <c r="P1766" s="656" t="s">
        <v>47</v>
      </c>
      <c r="Q1766" s="657">
        <v>85</v>
      </c>
      <c r="R1766" s="657">
        <v>85</v>
      </c>
      <c r="S1766" s="657">
        <v>471</v>
      </c>
      <c r="T1766" s="657">
        <v>471</v>
      </c>
      <c r="U1766" s="657">
        <v>62</v>
      </c>
      <c r="V1766" s="655">
        <v>2021</v>
      </c>
      <c r="W1766" s="659"/>
      <c r="X1766" s="660" t="str">
        <f t="shared" si="83"/>
        <v/>
      </c>
      <c r="Y1766" s="661" t="str">
        <f t="shared" si="81"/>
        <v/>
      </c>
      <c r="Z1766" s="661" t="str">
        <f t="shared" si="82"/>
        <v/>
      </c>
    </row>
    <row r="1767" spans="1:26" s="128" customFormat="1" ht="25" hidden="1">
      <c r="A1767" s="655">
        <v>62002</v>
      </c>
      <c r="B1767" s="656" t="s">
        <v>33</v>
      </c>
      <c r="C1767" s="655" t="s">
        <v>2793</v>
      </c>
      <c r="D1767" s="656" t="s">
        <v>2410</v>
      </c>
      <c r="E1767" s="656" t="s">
        <v>2410</v>
      </c>
      <c r="F1767" s="655">
        <v>61584</v>
      </c>
      <c r="G1767" s="656" t="s">
        <v>57</v>
      </c>
      <c r="H1767" s="656" t="s">
        <v>1182</v>
      </c>
      <c r="I1767" s="656" t="s">
        <v>58</v>
      </c>
      <c r="J1767" s="655">
        <v>622</v>
      </c>
      <c r="K1767" s="655">
        <v>4</v>
      </c>
      <c r="L1767" s="656" t="s">
        <v>412</v>
      </c>
      <c r="M1767" s="656" t="s">
        <v>51</v>
      </c>
      <c r="N1767" s="656" t="s">
        <v>46</v>
      </c>
      <c r="O1767" s="656" t="s">
        <v>46</v>
      </c>
      <c r="P1767" s="656" t="s">
        <v>47</v>
      </c>
      <c r="Q1767" s="657">
        <v>26</v>
      </c>
      <c r="R1767" s="657">
        <v>26</v>
      </c>
      <c r="S1767" s="657">
        <v>147</v>
      </c>
      <c r="T1767" s="657">
        <v>147</v>
      </c>
      <c r="U1767" s="657">
        <v>7</v>
      </c>
      <c r="V1767" s="655">
        <v>2021</v>
      </c>
      <c r="W1767" s="659"/>
      <c r="X1767" s="660" t="str">
        <f t="shared" si="83"/>
        <v/>
      </c>
      <c r="Y1767" s="661" t="str">
        <f t="shared" si="81"/>
        <v/>
      </c>
      <c r="Z1767" s="661" t="str">
        <f t="shared" si="82"/>
        <v/>
      </c>
    </row>
    <row r="1768" spans="1:26" s="128" customFormat="1" ht="25" hidden="1">
      <c r="A1768" s="655">
        <v>62003</v>
      </c>
      <c r="B1768" s="656" t="s">
        <v>33</v>
      </c>
      <c r="C1768" s="655" t="s">
        <v>2793</v>
      </c>
      <c r="D1768" s="656" t="s">
        <v>2411</v>
      </c>
      <c r="E1768" s="656" t="s">
        <v>2411</v>
      </c>
      <c r="F1768" s="655">
        <v>61577</v>
      </c>
      <c r="G1768" s="656" t="s">
        <v>57</v>
      </c>
      <c r="H1768" s="656" t="s">
        <v>1182</v>
      </c>
      <c r="I1768" s="656" t="s">
        <v>58</v>
      </c>
      <c r="J1768" s="655">
        <v>622</v>
      </c>
      <c r="K1768" s="655">
        <v>4</v>
      </c>
      <c r="L1768" s="656" t="s">
        <v>412</v>
      </c>
      <c r="M1768" s="656" t="s">
        <v>51</v>
      </c>
      <c r="N1768" s="656" t="s">
        <v>46</v>
      </c>
      <c r="O1768" s="656" t="s">
        <v>46</v>
      </c>
      <c r="P1768" s="656" t="s">
        <v>47</v>
      </c>
      <c r="Q1768" s="657">
        <v>25</v>
      </c>
      <c r="R1768" s="657">
        <v>25</v>
      </c>
      <c r="S1768" s="657">
        <v>141</v>
      </c>
      <c r="T1768" s="657">
        <v>141</v>
      </c>
      <c r="U1768" s="657">
        <v>25</v>
      </c>
      <c r="V1768" s="655">
        <v>2021</v>
      </c>
      <c r="W1768" s="659"/>
      <c r="X1768" s="660" t="str">
        <f t="shared" si="83"/>
        <v/>
      </c>
      <c r="Y1768" s="661" t="str">
        <f t="shared" si="81"/>
        <v/>
      </c>
      <c r="Z1768" s="661" t="str">
        <f t="shared" si="82"/>
        <v/>
      </c>
    </row>
    <row r="1769" spans="1:26" s="128" customFormat="1" hidden="1">
      <c r="A1769" s="655">
        <v>62017</v>
      </c>
      <c r="B1769" s="656" t="s">
        <v>33</v>
      </c>
      <c r="C1769" s="655" t="s">
        <v>2793</v>
      </c>
      <c r="D1769" s="656" t="s">
        <v>2835</v>
      </c>
      <c r="E1769" s="656" t="s">
        <v>2210</v>
      </c>
      <c r="F1769" s="655">
        <v>61012</v>
      </c>
      <c r="G1769" s="656" t="s">
        <v>57</v>
      </c>
      <c r="H1769" s="656" t="s">
        <v>1182</v>
      </c>
      <c r="I1769" s="656" t="s">
        <v>58</v>
      </c>
      <c r="J1769" s="655">
        <v>22</v>
      </c>
      <c r="K1769" s="655">
        <v>2</v>
      </c>
      <c r="L1769" s="656" t="s">
        <v>52</v>
      </c>
      <c r="M1769" s="656" t="s">
        <v>448</v>
      </c>
      <c r="N1769" s="656" t="s">
        <v>449</v>
      </c>
      <c r="O1769" s="656" t="s">
        <v>449</v>
      </c>
      <c r="P1769" s="656" t="s">
        <v>1176</v>
      </c>
      <c r="Q1769" s="657">
        <v>0</v>
      </c>
      <c r="R1769" s="657">
        <v>0</v>
      </c>
      <c r="S1769" s="657">
        <v>295011</v>
      </c>
      <c r="T1769" s="657">
        <v>295011</v>
      </c>
      <c r="U1769" s="657">
        <v>33361</v>
      </c>
      <c r="V1769" s="655">
        <v>2021</v>
      </c>
      <c r="W1769" s="659"/>
      <c r="X1769" s="660">
        <f t="shared" si="83"/>
        <v>8.8429903180360299</v>
      </c>
      <c r="Y1769" s="661" t="str">
        <f t="shared" si="81"/>
        <v/>
      </c>
      <c r="Z1769" s="661" t="str">
        <f t="shared" si="82"/>
        <v/>
      </c>
    </row>
    <row r="1770" spans="1:26" s="128" customFormat="1" hidden="1">
      <c r="A1770" s="655">
        <v>62021</v>
      </c>
      <c r="B1770" s="656" t="s">
        <v>33</v>
      </c>
      <c r="C1770" s="655" t="s">
        <v>2793</v>
      </c>
      <c r="D1770" s="656" t="s">
        <v>2412</v>
      </c>
      <c r="E1770" s="656" t="s">
        <v>1965</v>
      </c>
      <c r="F1770" s="655">
        <v>58135</v>
      </c>
      <c r="G1770" s="656" t="s">
        <v>41</v>
      </c>
      <c r="H1770" s="656" t="s">
        <v>1183</v>
      </c>
      <c r="I1770" s="656" t="s">
        <v>58</v>
      </c>
      <c r="J1770" s="655">
        <v>22</v>
      </c>
      <c r="K1770" s="655">
        <v>2</v>
      </c>
      <c r="L1770" s="656" t="s">
        <v>52</v>
      </c>
      <c r="M1770" s="656" t="s">
        <v>448</v>
      </c>
      <c r="N1770" s="656" t="s">
        <v>449</v>
      </c>
      <c r="O1770" s="656" t="s">
        <v>449</v>
      </c>
      <c r="P1770" s="656" t="s">
        <v>1176</v>
      </c>
      <c r="Q1770" s="657">
        <v>0</v>
      </c>
      <c r="R1770" s="657">
        <v>0</v>
      </c>
      <c r="S1770" s="657">
        <v>12488</v>
      </c>
      <c r="T1770" s="657">
        <v>12488</v>
      </c>
      <c r="U1770" s="657">
        <v>1412</v>
      </c>
      <c r="V1770" s="655">
        <v>2021</v>
      </c>
      <c r="W1770" s="659"/>
      <c r="X1770" s="660">
        <f t="shared" si="83"/>
        <v>8.8441926345609065</v>
      </c>
      <c r="Y1770" s="661" t="str">
        <f t="shared" si="81"/>
        <v/>
      </c>
      <c r="Z1770" s="661" t="str">
        <f t="shared" si="82"/>
        <v/>
      </c>
    </row>
    <row r="1771" spans="1:26" s="128" customFormat="1" hidden="1">
      <c r="A1771" s="655">
        <v>62023</v>
      </c>
      <c r="B1771" s="656" t="s">
        <v>33</v>
      </c>
      <c r="C1771" s="655" t="s">
        <v>2793</v>
      </c>
      <c r="D1771" s="656" t="s">
        <v>1607</v>
      </c>
      <c r="E1771" s="656" t="s">
        <v>1965</v>
      </c>
      <c r="F1771" s="655">
        <v>58135</v>
      </c>
      <c r="G1771" s="656" t="s">
        <v>41</v>
      </c>
      <c r="H1771" s="656" t="s">
        <v>1183</v>
      </c>
      <c r="I1771" s="656" t="s">
        <v>58</v>
      </c>
      <c r="J1771" s="655">
        <v>22</v>
      </c>
      <c r="K1771" s="655">
        <v>2</v>
      </c>
      <c r="L1771" s="656" t="s">
        <v>52</v>
      </c>
      <c r="M1771" s="656" t="s">
        <v>448</v>
      </c>
      <c r="N1771" s="656" t="s">
        <v>449</v>
      </c>
      <c r="O1771" s="656" t="s">
        <v>449</v>
      </c>
      <c r="P1771" s="656" t="s">
        <v>1176</v>
      </c>
      <c r="Q1771" s="657">
        <v>0</v>
      </c>
      <c r="R1771" s="657">
        <v>0</v>
      </c>
      <c r="S1771" s="657">
        <v>12769</v>
      </c>
      <c r="T1771" s="657">
        <v>12769</v>
      </c>
      <c r="U1771" s="657">
        <v>1444</v>
      </c>
      <c r="V1771" s="655">
        <v>2021</v>
      </c>
      <c r="W1771" s="659"/>
      <c r="X1771" s="660">
        <f t="shared" si="83"/>
        <v>8.8427977839335181</v>
      </c>
      <c r="Y1771" s="661" t="str">
        <f t="shared" si="81"/>
        <v/>
      </c>
      <c r="Z1771" s="661" t="str">
        <f t="shared" si="82"/>
        <v/>
      </c>
    </row>
    <row r="1772" spans="1:26" s="128" customFormat="1" hidden="1">
      <c r="A1772" s="655">
        <v>62024</v>
      </c>
      <c r="B1772" s="656" t="s">
        <v>33</v>
      </c>
      <c r="C1772" s="655" t="s">
        <v>2793</v>
      </c>
      <c r="D1772" s="656" t="s">
        <v>2413</v>
      </c>
      <c r="E1772" s="656" t="s">
        <v>1965</v>
      </c>
      <c r="F1772" s="655">
        <v>58135</v>
      </c>
      <c r="G1772" s="656" t="s">
        <v>41</v>
      </c>
      <c r="H1772" s="656" t="s">
        <v>1183</v>
      </c>
      <c r="I1772" s="656" t="s">
        <v>58</v>
      </c>
      <c r="J1772" s="655">
        <v>22</v>
      </c>
      <c r="K1772" s="655">
        <v>2</v>
      </c>
      <c r="L1772" s="656" t="s">
        <v>52</v>
      </c>
      <c r="M1772" s="656" t="s">
        <v>448</v>
      </c>
      <c r="N1772" s="656" t="s">
        <v>449</v>
      </c>
      <c r="O1772" s="656" t="s">
        <v>449</v>
      </c>
      <c r="P1772" s="656" t="s">
        <v>1176</v>
      </c>
      <c r="Q1772" s="657">
        <v>0</v>
      </c>
      <c r="R1772" s="657">
        <v>0</v>
      </c>
      <c r="S1772" s="657">
        <v>12787</v>
      </c>
      <c r="T1772" s="657">
        <v>12787</v>
      </c>
      <c r="U1772" s="657">
        <v>1446</v>
      </c>
      <c r="V1772" s="655">
        <v>2021</v>
      </c>
      <c r="W1772" s="659"/>
      <c r="X1772" s="660">
        <f t="shared" si="83"/>
        <v>8.8430152143845095</v>
      </c>
      <c r="Y1772" s="661" t="str">
        <f t="shared" si="81"/>
        <v/>
      </c>
      <c r="Z1772" s="661" t="str">
        <f t="shared" si="82"/>
        <v/>
      </c>
    </row>
    <row r="1773" spans="1:26" s="128" customFormat="1" hidden="1">
      <c r="A1773" s="655">
        <v>62025</v>
      </c>
      <c r="B1773" s="656" t="s">
        <v>33</v>
      </c>
      <c r="C1773" s="655" t="s">
        <v>2793</v>
      </c>
      <c r="D1773" s="656" t="s">
        <v>2414</v>
      </c>
      <c r="E1773" s="656" t="s">
        <v>1965</v>
      </c>
      <c r="F1773" s="655">
        <v>58135</v>
      </c>
      <c r="G1773" s="656" t="s">
        <v>41</v>
      </c>
      <c r="H1773" s="656" t="s">
        <v>1183</v>
      </c>
      <c r="I1773" s="656" t="s">
        <v>58</v>
      </c>
      <c r="J1773" s="655">
        <v>22</v>
      </c>
      <c r="K1773" s="655">
        <v>2</v>
      </c>
      <c r="L1773" s="656" t="s">
        <v>52</v>
      </c>
      <c r="M1773" s="656" t="s">
        <v>448</v>
      </c>
      <c r="N1773" s="656" t="s">
        <v>449</v>
      </c>
      <c r="O1773" s="656" t="s">
        <v>449</v>
      </c>
      <c r="P1773" s="656" t="s">
        <v>1176</v>
      </c>
      <c r="Q1773" s="657">
        <v>0</v>
      </c>
      <c r="R1773" s="657">
        <v>0</v>
      </c>
      <c r="S1773" s="657">
        <v>11814</v>
      </c>
      <c r="T1773" s="657">
        <v>11814</v>
      </c>
      <c r="U1773" s="657">
        <v>1336</v>
      </c>
      <c r="V1773" s="655">
        <v>2021</v>
      </c>
      <c r="W1773" s="659"/>
      <c r="X1773" s="660">
        <f t="shared" si="83"/>
        <v>8.8428143712574858</v>
      </c>
      <c r="Y1773" s="661" t="str">
        <f t="shared" si="81"/>
        <v/>
      </c>
      <c r="Z1773" s="661" t="str">
        <f t="shared" si="82"/>
        <v/>
      </c>
    </row>
    <row r="1774" spans="1:26" s="128" customFormat="1" hidden="1">
      <c r="A1774" s="655">
        <v>62026</v>
      </c>
      <c r="B1774" s="656" t="s">
        <v>33</v>
      </c>
      <c r="C1774" s="655" t="s">
        <v>2793</v>
      </c>
      <c r="D1774" s="656" t="s">
        <v>2415</v>
      </c>
      <c r="E1774" s="656" t="s">
        <v>1965</v>
      </c>
      <c r="F1774" s="655">
        <v>58135</v>
      </c>
      <c r="G1774" s="656" t="s">
        <v>41</v>
      </c>
      <c r="H1774" s="656" t="s">
        <v>1183</v>
      </c>
      <c r="I1774" s="656" t="s">
        <v>58</v>
      </c>
      <c r="J1774" s="655">
        <v>22</v>
      </c>
      <c r="K1774" s="655">
        <v>2</v>
      </c>
      <c r="L1774" s="656" t="s">
        <v>52</v>
      </c>
      <c r="M1774" s="656" t="s">
        <v>448</v>
      </c>
      <c r="N1774" s="656" t="s">
        <v>449</v>
      </c>
      <c r="O1774" s="656" t="s">
        <v>449</v>
      </c>
      <c r="P1774" s="656" t="s">
        <v>1176</v>
      </c>
      <c r="Q1774" s="657">
        <v>0</v>
      </c>
      <c r="R1774" s="657">
        <v>0</v>
      </c>
      <c r="S1774" s="657">
        <v>12274</v>
      </c>
      <c r="T1774" s="657">
        <v>12274</v>
      </c>
      <c r="U1774" s="657">
        <v>1388</v>
      </c>
      <c r="V1774" s="655">
        <v>2021</v>
      </c>
      <c r="W1774" s="659"/>
      <c r="X1774" s="660">
        <f t="shared" si="83"/>
        <v>8.8429394812680115</v>
      </c>
      <c r="Y1774" s="661" t="str">
        <f t="shared" si="81"/>
        <v/>
      </c>
      <c r="Z1774" s="661" t="str">
        <f t="shared" si="82"/>
        <v/>
      </c>
    </row>
    <row r="1775" spans="1:26" s="128" customFormat="1" hidden="1">
      <c r="A1775" s="655">
        <v>62029</v>
      </c>
      <c r="B1775" s="656" t="s">
        <v>33</v>
      </c>
      <c r="C1775" s="655" t="s">
        <v>2793</v>
      </c>
      <c r="D1775" s="656" t="s">
        <v>2416</v>
      </c>
      <c r="E1775" s="656" t="s">
        <v>2416</v>
      </c>
      <c r="F1775" s="655">
        <v>61599</v>
      </c>
      <c r="G1775" s="656" t="s">
        <v>57</v>
      </c>
      <c r="H1775" s="656" t="s">
        <v>1182</v>
      </c>
      <c r="I1775" s="656" t="s">
        <v>58</v>
      </c>
      <c r="J1775" s="655">
        <v>22</v>
      </c>
      <c r="K1775" s="655">
        <v>2</v>
      </c>
      <c r="L1775" s="656" t="s">
        <v>52</v>
      </c>
      <c r="M1775" s="656" t="s">
        <v>448</v>
      </c>
      <c r="N1775" s="656" t="s">
        <v>449</v>
      </c>
      <c r="O1775" s="656" t="s">
        <v>449</v>
      </c>
      <c r="P1775" s="656" t="s">
        <v>1176</v>
      </c>
      <c r="Q1775" s="657">
        <v>0</v>
      </c>
      <c r="R1775" s="657">
        <v>0</v>
      </c>
      <c r="S1775" s="657">
        <v>20799</v>
      </c>
      <c r="T1775" s="657">
        <v>20799</v>
      </c>
      <c r="U1775" s="657">
        <v>2352</v>
      </c>
      <c r="V1775" s="655">
        <v>2021</v>
      </c>
      <c r="W1775" s="659"/>
      <c r="X1775" s="660">
        <f t="shared" si="83"/>
        <v>8.8431122448979593</v>
      </c>
      <c r="Y1775" s="661" t="str">
        <f t="shared" si="81"/>
        <v/>
      </c>
      <c r="Z1775" s="661" t="str">
        <f t="shared" si="82"/>
        <v/>
      </c>
    </row>
    <row r="1776" spans="1:26" s="128" customFormat="1" hidden="1">
      <c r="A1776" s="655">
        <v>62034</v>
      </c>
      <c r="B1776" s="656" t="s">
        <v>33</v>
      </c>
      <c r="C1776" s="655" t="s">
        <v>2793</v>
      </c>
      <c r="D1776" s="656" t="s">
        <v>2417</v>
      </c>
      <c r="E1776" s="656" t="s">
        <v>2418</v>
      </c>
      <c r="F1776" s="655">
        <v>61610</v>
      </c>
      <c r="G1776" s="656" t="s">
        <v>57</v>
      </c>
      <c r="H1776" s="656" t="s">
        <v>1182</v>
      </c>
      <c r="I1776" s="656" t="s">
        <v>58</v>
      </c>
      <c r="J1776" s="655">
        <v>22</v>
      </c>
      <c r="K1776" s="655">
        <v>2</v>
      </c>
      <c r="L1776" s="656" t="s">
        <v>52</v>
      </c>
      <c r="M1776" s="656" t="s">
        <v>448</v>
      </c>
      <c r="N1776" s="656" t="s">
        <v>449</v>
      </c>
      <c r="O1776" s="656" t="s">
        <v>449</v>
      </c>
      <c r="P1776" s="656" t="s">
        <v>1176</v>
      </c>
      <c r="Q1776" s="657">
        <v>0</v>
      </c>
      <c r="R1776" s="657">
        <v>0</v>
      </c>
      <c r="S1776" s="657">
        <v>24530</v>
      </c>
      <c r="T1776" s="657">
        <v>24530</v>
      </c>
      <c r="U1776" s="657">
        <v>2774</v>
      </c>
      <c r="V1776" s="655">
        <v>2021</v>
      </c>
      <c r="W1776" s="659"/>
      <c r="X1776" s="660">
        <f t="shared" si="83"/>
        <v>8.8428262436914196</v>
      </c>
      <c r="Y1776" s="661" t="str">
        <f t="shared" si="81"/>
        <v/>
      </c>
      <c r="Z1776" s="661" t="str">
        <f t="shared" si="82"/>
        <v/>
      </c>
    </row>
    <row r="1777" spans="1:26" s="128" customFormat="1" ht="25" hidden="1">
      <c r="A1777" s="655">
        <v>62050</v>
      </c>
      <c r="B1777" s="656" t="s">
        <v>33</v>
      </c>
      <c r="C1777" s="655" t="s">
        <v>2793</v>
      </c>
      <c r="D1777" s="656" t="s">
        <v>2419</v>
      </c>
      <c r="E1777" s="656" t="s">
        <v>2419</v>
      </c>
      <c r="F1777" s="655">
        <v>61618</v>
      </c>
      <c r="G1777" s="656" t="s">
        <v>57</v>
      </c>
      <c r="H1777" s="656" t="s">
        <v>1182</v>
      </c>
      <c r="I1777" s="656" t="s">
        <v>58</v>
      </c>
      <c r="J1777" s="655">
        <v>622</v>
      </c>
      <c r="K1777" s="655">
        <v>4</v>
      </c>
      <c r="L1777" s="656" t="s">
        <v>412</v>
      </c>
      <c r="M1777" s="656" t="s">
        <v>51</v>
      </c>
      <c r="N1777" s="656" t="s">
        <v>46</v>
      </c>
      <c r="O1777" s="656" t="s">
        <v>46</v>
      </c>
      <c r="P1777" s="656" t="s">
        <v>47</v>
      </c>
      <c r="Q1777" s="657">
        <v>65</v>
      </c>
      <c r="R1777" s="657">
        <v>65</v>
      </c>
      <c r="S1777" s="657">
        <v>362</v>
      </c>
      <c r="T1777" s="657">
        <v>362</v>
      </c>
      <c r="U1777" s="657">
        <v>27</v>
      </c>
      <c r="V1777" s="655">
        <v>2021</v>
      </c>
      <c r="W1777" s="659"/>
      <c r="X1777" s="660" t="str">
        <f t="shared" si="83"/>
        <v/>
      </c>
      <c r="Y1777" s="661" t="str">
        <f t="shared" si="81"/>
        <v/>
      </c>
      <c r="Z1777" s="661" t="str">
        <f t="shared" si="82"/>
        <v/>
      </c>
    </row>
    <row r="1778" spans="1:26" s="128" customFormat="1" ht="25" hidden="1">
      <c r="A1778" s="655">
        <v>62051</v>
      </c>
      <c r="B1778" s="656" t="s">
        <v>33</v>
      </c>
      <c r="C1778" s="655" t="s">
        <v>2793</v>
      </c>
      <c r="D1778" s="656" t="s">
        <v>2420</v>
      </c>
      <c r="E1778" s="656" t="s">
        <v>2420</v>
      </c>
      <c r="F1778" s="655">
        <v>61619</v>
      </c>
      <c r="G1778" s="656" t="s">
        <v>57</v>
      </c>
      <c r="H1778" s="656" t="s">
        <v>1182</v>
      </c>
      <c r="I1778" s="656" t="s">
        <v>58</v>
      </c>
      <c r="J1778" s="655">
        <v>622</v>
      </c>
      <c r="K1778" s="655">
        <v>4</v>
      </c>
      <c r="L1778" s="656" t="s">
        <v>412</v>
      </c>
      <c r="M1778" s="656" t="s">
        <v>51</v>
      </c>
      <c r="N1778" s="656" t="s">
        <v>46</v>
      </c>
      <c r="O1778" s="656" t="s">
        <v>46</v>
      </c>
      <c r="P1778" s="656" t="s">
        <v>47</v>
      </c>
      <c r="Q1778" s="657">
        <v>48</v>
      </c>
      <c r="R1778" s="657">
        <v>48</v>
      </c>
      <c r="S1778" s="657">
        <v>267</v>
      </c>
      <c r="T1778" s="657">
        <v>267</v>
      </c>
      <c r="U1778" s="657">
        <v>16</v>
      </c>
      <c r="V1778" s="655">
        <v>2021</v>
      </c>
      <c r="W1778" s="659"/>
      <c r="X1778" s="660" t="str">
        <f t="shared" si="83"/>
        <v/>
      </c>
      <c r="Y1778" s="661" t="str">
        <f t="shared" si="81"/>
        <v/>
      </c>
      <c r="Z1778" s="661" t="str">
        <f t="shared" si="82"/>
        <v/>
      </c>
    </row>
    <row r="1779" spans="1:26" s="128" customFormat="1">
      <c r="A1779" s="655">
        <v>62055</v>
      </c>
      <c r="B1779" s="656" t="s">
        <v>33</v>
      </c>
      <c r="C1779" s="655" t="s">
        <v>2793</v>
      </c>
      <c r="D1779" s="656" t="s">
        <v>2421</v>
      </c>
      <c r="E1779" s="656" t="s">
        <v>2422</v>
      </c>
      <c r="F1779" s="655">
        <v>54913</v>
      </c>
      <c r="G1779" s="656" t="s">
        <v>81</v>
      </c>
      <c r="H1779" s="656" t="s">
        <v>1183</v>
      </c>
      <c r="I1779" s="656" t="s">
        <v>58</v>
      </c>
      <c r="J1779" s="655">
        <v>22</v>
      </c>
      <c r="K1779" s="655">
        <v>1</v>
      </c>
      <c r="L1779" s="656" t="s">
        <v>34</v>
      </c>
      <c r="M1779" s="656" t="s">
        <v>448</v>
      </c>
      <c r="N1779" s="656" t="s">
        <v>449</v>
      </c>
      <c r="O1779" s="656" t="s">
        <v>449</v>
      </c>
      <c r="P1779" s="656" t="s">
        <v>1176</v>
      </c>
      <c r="Q1779" s="657">
        <v>0</v>
      </c>
      <c r="R1779" s="657">
        <v>0</v>
      </c>
      <c r="S1779" s="657">
        <v>25971</v>
      </c>
      <c r="T1779" s="657">
        <v>25971</v>
      </c>
      <c r="U1779" s="657">
        <v>2937</v>
      </c>
      <c r="V1779" s="655">
        <v>2021</v>
      </c>
      <c r="W1779" s="659"/>
      <c r="X1779" s="660">
        <f t="shared" si="83"/>
        <v>8.8426966292134832</v>
      </c>
      <c r="Y1779" s="661" t="str">
        <f t="shared" si="81"/>
        <v/>
      </c>
      <c r="Z1779" s="661" t="str">
        <f t="shared" si="82"/>
        <v/>
      </c>
    </row>
    <row r="1780" spans="1:26" s="128" customFormat="1" ht="25">
      <c r="A1780" s="655">
        <v>62059</v>
      </c>
      <c r="B1780" s="656" t="s">
        <v>33</v>
      </c>
      <c r="C1780" s="655" t="s">
        <v>2793</v>
      </c>
      <c r="D1780" s="656" t="s">
        <v>2423</v>
      </c>
      <c r="E1780" s="656" t="s">
        <v>2422</v>
      </c>
      <c r="F1780" s="655">
        <v>54913</v>
      </c>
      <c r="G1780" s="656" t="s">
        <v>81</v>
      </c>
      <c r="H1780" s="656" t="s">
        <v>1183</v>
      </c>
      <c r="I1780" s="656" t="s">
        <v>58</v>
      </c>
      <c r="J1780" s="655">
        <v>22</v>
      </c>
      <c r="K1780" s="655">
        <v>1</v>
      </c>
      <c r="L1780" s="656" t="s">
        <v>34</v>
      </c>
      <c r="M1780" s="656" t="s">
        <v>448</v>
      </c>
      <c r="N1780" s="656" t="s">
        <v>449</v>
      </c>
      <c r="O1780" s="656" t="s">
        <v>449</v>
      </c>
      <c r="P1780" s="656" t="s">
        <v>1176</v>
      </c>
      <c r="Q1780" s="657">
        <v>0</v>
      </c>
      <c r="R1780" s="657">
        <v>0</v>
      </c>
      <c r="S1780" s="657">
        <v>75069</v>
      </c>
      <c r="T1780" s="657">
        <v>75069</v>
      </c>
      <c r="U1780" s="657">
        <v>8489</v>
      </c>
      <c r="V1780" s="655">
        <v>2021</v>
      </c>
      <c r="W1780" s="659"/>
      <c r="X1780" s="660">
        <f t="shared" si="83"/>
        <v>8.8430910590175529</v>
      </c>
      <c r="Y1780" s="661" t="str">
        <f t="shared" si="81"/>
        <v/>
      </c>
      <c r="Z1780" s="661" t="str">
        <f t="shared" si="82"/>
        <v/>
      </c>
    </row>
    <row r="1781" spans="1:26" s="128" customFormat="1">
      <c r="A1781" s="655">
        <v>62063</v>
      </c>
      <c r="B1781" s="656" t="s">
        <v>33</v>
      </c>
      <c r="C1781" s="655" t="s">
        <v>2793</v>
      </c>
      <c r="D1781" s="656" t="s">
        <v>2836</v>
      </c>
      <c r="E1781" s="656" t="s">
        <v>2422</v>
      </c>
      <c r="F1781" s="655">
        <v>54913</v>
      </c>
      <c r="G1781" s="656" t="s">
        <v>81</v>
      </c>
      <c r="H1781" s="656" t="s">
        <v>1183</v>
      </c>
      <c r="I1781" s="656" t="s">
        <v>58</v>
      </c>
      <c r="J1781" s="655">
        <v>22</v>
      </c>
      <c r="K1781" s="655">
        <v>1</v>
      </c>
      <c r="L1781" s="656" t="s">
        <v>34</v>
      </c>
      <c r="M1781" s="656" t="s">
        <v>448</v>
      </c>
      <c r="N1781" s="656" t="s">
        <v>449</v>
      </c>
      <c r="O1781" s="656" t="s">
        <v>449</v>
      </c>
      <c r="P1781" s="656" t="s">
        <v>1176</v>
      </c>
      <c r="Q1781" s="657">
        <v>0</v>
      </c>
      <c r="R1781" s="657">
        <v>0</v>
      </c>
      <c r="S1781" s="657">
        <v>27669</v>
      </c>
      <c r="T1781" s="657">
        <v>27669</v>
      </c>
      <c r="U1781" s="657">
        <v>3129</v>
      </c>
      <c r="V1781" s="655">
        <v>2021</v>
      </c>
      <c r="W1781" s="659"/>
      <c r="X1781" s="660">
        <f t="shared" si="83"/>
        <v>8.8427612655800569</v>
      </c>
      <c r="Y1781" s="661" t="str">
        <f t="shared" si="81"/>
        <v/>
      </c>
      <c r="Z1781" s="661" t="str">
        <f t="shared" si="82"/>
        <v/>
      </c>
    </row>
    <row r="1782" spans="1:26" s="128" customFormat="1">
      <c r="A1782" s="655">
        <v>62064</v>
      </c>
      <c r="B1782" s="656" t="s">
        <v>33</v>
      </c>
      <c r="C1782" s="655" t="s">
        <v>2793</v>
      </c>
      <c r="D1782" s="656" t="s">
        <v>2837</v>
      </c>
      <c r="E1782" s="656" t="s">
        <v>2422</v>
      </c>
      <c r="F1782" s="655">
        <v>54913</v>
      </c>
      <c r="G1782" s="656" t="s">
        <v>81</v>
      </c>
      <c r="H1782" s="656" t="s">
        <v>1183</v>
      </c>
      <c r="I1782" s="656" t="s">
        <v>58</v>
      </c>
      <c r="J1782" s="655">
        <v>22</v>
      </c>
      <c r="K1782" s="655">
        <v>1</v>
      </c>
      <c r="L1782" s="656" t="s">
        <v>34</v>
      </c>
      <c r="M1782" s="656" t="s">
        <v>448</v>
      </c>
      <c r="N1782" s="656" t="s">
        <v>449</v>
      </c>
      <c r="O1782" s="656" t="s">
        <v>449</v>
      </c>
      <c r="P1782" s="656" t="s">
        <v>1176</v>
      </c>
      <c r="Q1782" s="657">
        <v>0</v>
      </c>
      <c r="R1782" s="657">
        <v>0</v>
      </c>
      <c r="S1782" s="657">
        <v>25415</v>
      </c>
      <c r="T1782" s="657">
        <v>25415</v>
      </c>
      <c r="U1782" s="657">
        <v>2874</v>
      </c>
      <c r="V1782" s="655">
        <v>2021</v>
      </c>
      <c r="W1782" s="659"/>
      <c r="X1782" s="660">
        <f t="shared" si="83"/>
        <v>8.8430758524704238</v>
      </c>
      <c r="Y1782" s="661" t="str">
        <f t="shared" si="81"/>
        <v/>
      </c>
      <c r="Z1782" s="661" t="str">
        <f t="shared" si="82"/>
        <v/>
      </c>
    </row>
    <row r="1783" spans="1:26" s="128" customFormat="1">
      <c r="A1783" s="655">
        <v>62065</v>
      </c>
      <c r="B1783" s="656" t="s">
        <v>33</v>
      </c>
      <c r="C1783" s="655" t="s">
        <v>2793</v>
      </c>
      <c r="D1783" s="656" t="s">
        <v>2838</v>
      </c>
      <c r="E1783" s="656" t="s">
        <v>2422</v>
      </c>
      <c r="F1783" s="655">
        <v>54913</v>
      </c>
      <c r="G1783" s="656" t="s">
        <v>81</v>
      </c>
      <c r="H1783" s="656" t="s">
        <v>1183</v>
      </c>
      <c r="I1783" s="656" t="s">
        <v>58</v>
      </c>
      <c r="J1783" s="655">
        <v>22</v>
      </c>
      <c r="K1783" s="655">
        <v>1</v>
      </c>
      <c r="L1783" s="656" t="s">
        <v>34</v>
      </c>
      <c r="M1783" s="656" t="s">
        <v>448</v>
      </c>
      <c r="N1783" s="656" t="s">
        <v>449</v>
      </c>
      <c r="O1783" s="656" t="s">
        <v>449</v>
      </c>
      <c r="P1783" s="656" t="s">
        <v>1176</v>
      </c>
      <c r="Q1783" s="657">
        <v>0</v>
      </c>
      <c r="R1783" s="657">
        <v>0</v>
      </c>
      <c r="S1783" s="657">
        <v>24742</v>
      </c>
      <c r="T1783" s="657">
        <v>24742</v>
      </c>
      <c r="U1783" s="657">
        <v>2798</v>
      </c>
      <c r="V1783" s="655">
        <v>2021</v>
      </c>
      <c r="W1783" s="659"/>
      <c r="X1783" s="660">
        <f t="shared" si="83"/>
        <v>8.8427448177269472</v>
      </c>
      <c r="Y1783" s="661" t="str">
        <f t="shared" si="81"/>
        <v/>
      </c>
      <c r="Z1783" s="661" t="str">
        <f t="shared" si="82"/>
        <v/>
      </c>
    </row>
    <row r="1784" spans="1:26" s="128" customFormat="1">
      <c r="A1784" s="655">
        <v>62066</v>
      </c>
      <c r="B1784" s="656" t="s">
        <v>33</v>
      </c>
      <c r="C1784" s="655" t="s">
        <v>2793</v>
      </c>
      <c r="D1784" s="656" t="s">
        <v>2839</v>
      </c>
      <c r="E1784" s="656" t="s">
        <v>2422</v>
      </c>
      <c r="F1784" s="655">
        <v>54913</v>
      </c>
      <c r="G1784" s="656" t="s">
        <v>81</v>
      </c>
      <c r="H1784" s="656" t="s">
        <v>1183</v>
      </c>
      <c r="I1784" s="656" t="s">
        <v>58</v>
      </c>
      <c r="J1784" s="655">
        <v>22</v>
      </c>
      <c r="K1784" s="655">
        <v>1</v>
      </c>
      <c r="L1784" s="656" t="s">
        <v>34</v>
      </c>
      <c r="M1784" s="656" t="s">
        <v>448</v>
      </c>
      <c r="N1784" s="656" t="s">
        <v>449</v>
      </c>
      <c r="O1784" s="656" t="s">
        <v>449</v>
      </c>
      <c r="P1784" s="656" t="s">
        <v>1176</v>
      </c>
      <c r="Q1784" s="657">
        <v>0</v>
      </c>
      <c r="R1784" s="657">
        <v>0</v>
      </c>
      <c r="S1784" s="657">
        <v>27617</v>
      </c>
      <c r="T1784" s="657">
        <v>27617</v>
      </c>
      <c r="U1784" s="657">
        <v>3123</v>
      </c>
      <c r="V1784" s="655">
        <v>2021</v>
      </c>
      <c r="W1784" s="659"/>
      <c r="X1784" s="660">
        <f t="shared" si="83"/>
        <v>8.84309958373359</v>
      </c>
      <c r="Y1784" s="661" t="str">
        <f t="shared" si="81"/>
        <v/>
      </c>
      <c r="Z1784" s="661" t="str">
        <f t="shared" si="82"/>
        <v/>
      </c>
    </row>
    <row r="1785" spans="1:26" s="128" customFormat="1">
      <c r="A1785" s="655">
        <v>62072</v>
      </c>
      <c r="B1785" s="656" t="s">
        <v>33</v>
      </c>
      <c r="C1785" s="655" t="s">
        <v>2793</v>
      </c>
      <c r="D1785" s="656" t="s">
        <v>2840</v>
      </c>
      <c r="E1785" s="656" t="s">
        <v>2422</v>
      </c>
      <c r="F1785" s="655">
        <v>54913</v>
      </c>
      <c r="G1785" s="656" t="s">
        <v>81</v>
      </c>
      <c r="H1785" s="656" t="s">
        <v>1183</v>
      </c>
      <c r="I1785" s="656" t="s">
        <v>58</v>
      </c>
      <c r="J1785" s="655">
        <v>22</v>
      </c>
      <c r="K1785" s="655">
        <v>1</v>
      </c>
      <c r="L1785" s="656" t="s">
        <v>34</v>
      </c>
      <c r="M1785" s="656" t="s">
        <v>448</v>
      </c>
      <c r="N1785" s="656" t="s">
        <v>449</v>
      </c>
      <c r="O1785" s="656" t="s">
        <v>449</v>
      </c>
      <c r="P1785" s="656" t="s">
        <v>1176</v>
      </c>
      <c r="Q1785" s="657">
        <v>0</v>
      </c>
      <c r="R1785" s="657">
        <v>0</v>
      </c>
      <c r="S1785" s="657">
        <v>56382</v>
      </c>
      <c r="T1785" s="657">
        <v>56382</v>
      </c>
      <c r="U1785" s="657">
        <v>6376</v>
      </c>
      <c r="V1785" s="655">
        <v>2021</v>
      </c>
      <c r="W1785" s="659"/>
      <c r="X1785" s="660">
        <f t="shared" si="83"/>
        <v>8.8428481806775405</v>
      </c>
      <c r="Y1785" s="661" t="str">
        <f t="shared" si="81"/>
        <v/>
      </c>
      <c r="Z1785" s="661" t="str">
        <f t="shared" si="82"/>
        <v/>
      </c>
    </row>
    <row r="1786" spans="1:26" s="128" customFormat="1">
      <c r="A1786" s="655">
        <v>62073</v>
      </c>
      <c r="B1786" s="656" t="s">
        <v>33</v>
      </c>
      <c r="C1786" s="655" t="s">
        <v>2793</v>
      </c>
      <c r="D1786" s="656" t="s">
        <v>2841</v>
      </c>
      <c r="E1786" s="656" t="s">
        <v>2422</v>
      </c>
      <c r="F1786" s="655">
        <v>54913</v>
      </c>
      <c r="G1786" s="656" t="s">
        <v>81</v>
      </c>
      <c r="H1786" s="656" t="s">
        <v>1183</v>
      </c>
      <c r="I1786" s="656" t="s">
        <v>58</v>
      </c>
      <c r="J1786" s="655">
        <v>22</v>
      </c>
      <c r="K1786" s="655">
        <v>1</v>
      </c>
      <c r="L1786" s="656" t="s">
        <v>34</v>
      </c>
      <c r="M1786" s="656" t="s">
        <v>448</v>
      </c>
      <c r="N1786" s="656" t="s">
        <v>449</v>
      </c>
      <c r="O1786" s="656" t="s">
        <v>449</v>
      </c>
      <c r="P1786" s="656" t="s">
        <v>1176</v>
      </c>
      <c r="Q1786" s="657">
        <v>0</v>
      </c>
      <c r="R1786" s="657">
        <v>0</v>
      </c>
      <c r="S1786" s="657">
        <v>51864</v>
      </c>
      <c r="T1786" s="657">
        <v>51864</v>
      </c>
      <c r="U1786" s="657">
        <v>5865</v>
      </c>
      <c r="V1786" s="655">
        <v>2021</v>
      </c>
      <c r="W1786" s="659"/>
      <c r="X1786" s="660">
        <f t="shared" si="83"/>
        <v>8.8429667519181585</v>
      </c>
      <c r="Y1786" s="661" t="str">
        <f t="shared" si="81"/>
        <v/>
      </c>
      <c r="Z1786" s="661" t="str">
        <f t="shared" si="82"/>
        <v/>
      </c>
    </row>
    <row r="1787" spans="1:26" s="128" customFormat="1" hidden="1">
      <c r="A1787" s="655">
        <v>62076</v>
      </c>
      <c r="B1787" s="656" t="s">
        <v>33</v>
      </c>
      <c r="C1787" s="655" t="s">
        <v>2793</v>
      </c>
      <c r="D1787" s="656" t="s">
        <v>2424</v>
      </c>
      <c r="E1787" s="656" t="s">
        <v>1922</v>
      </c>
      <c r="F1787" s="655">
        <v>60947</v>
      </c>
      <c r="G1787" s="656" t="s">
        <v>41</v>
      </c>
      <c r="H1787" s="656" t="s">
        <v>1183</v>
      </c>
      <c r="I1787" s="656" t="s">
        <v>58</v>
      </c>
      <c r="J1787" s="655">
        <v>22</v>
      </c>
      <c r="K1787" s="655">
        <v>2</v>
      </c>
      <c r="L1787" s="656" t="s">
        <v>52</v>
      </c>
      <c r="M1787" s="656" t="s">
        <v>448</v>
      </c>
      <c r="N1787" s="656" t="s">
        <v>449</v>
      </c>
      <c r="O1787" s="656" t="s">
        <v>449</v>
      </c>
      <c r="P1787" s="656" t="s">
        <v>1176</v>
      </c>
      <c r="Q1787" s="657">
        <v>0</v>
      </c>
      <c r="R1787" s="657">
        <v>0</v>
      </c>
      <c r="S1787" s="657">
        <v>13867</v>
      </c>
      <c r="T1787" s="657">
        <v>13867</v>
      </c>
      <c r="U1787" s="657">
        <v>1568</v>
      </c>
      <c r="V1787" s="655">
        <v>2021</v>
      </c>
      <c r="W1787" s="659"/>
      <c r="X1787" s="660">
        <f t="shared" si="83"/>
        <v>8.84375</v>
      </c>
      <c r="Y1787" s="661" t="str">
        <f t="shared" si="81"/>
        <v/>
      </c>
      <c r="Z1787" s="661" t="str">
        <f t="shared" si="82"/>
        <v/>
      </c>
    </row>
    <row r="1788" spans="1:26" s="128" customFormat="1">
      <c r="A1788" s="655">
        <v>62082</v>
      </c>
      <c r="B1788" s="656" t="s">
        <v>33</v>
      </c>
      <c r="C1788" s="655" t="s">
        <v>2793</v>
      </c>
      <c r="D1788" s="656" t="s">
        <v>2425</v>
      </c>
      <c r="E1788" s="656" t="s">
        <v>2422</v>
      </c>
      <c r="F1788" s="655">
        <v>54913</v>
      </c>
      <c r="G1788" s="656" t="s">
        <v>81</v>
      </c>
      <c r="H1788" s="656" t="s">
        <v>1183</v>
      </c>
      <c r="I1788" s="656" t="s">
        <v>58</v>
      </c>
      <c r="J1788" s="655">
        <v>22</v>
      </c>
      <c r="K1788" s="655">
        <v>1</v>
      </c>
      <c r="L1788" s="656" t="s">
        <v>34</v>
      </c>
      <c r="M1788" s="656" t="s">
        <v>448</v>
      </c>
      <c r="N1788" s="656" t="s">
        <v>449</v>
      </c>
      <c r="O1788" s="656" t="s">
        <v>449</v>
      </c>
      <c r="P1788" s="656" t="s">
        <v>1176</v>
      </c>
      <c r="Q1788" s="657">
        <v>0</v>
      </c>
      <c r="R1788" s="657">
        <v>0</v>
      </c>
      <c r="S1788" s="657">
        <v>74007</v>
      </c>
      <c r="T1788" s="657">
        <v>74007</v>
      </c>
      <c r="U1788" s="657">
        <v>8369</v>
      </c>
      <c r="V1788" s="655">
        <v>2021</v>
      </c>
      <c r="W1788" s="659"/>
      <c r="X1788" s="660">
        <f t="shared" si="83"/>
        <v>8.8429919942645476</v>
      </c>
      <c r="Y1788" s="661" t="str">
        <f t="shared" si="81"/>
        <v/>
      </c>
      <c r="Z1788" s="661" t="str">
        <f t="shared" si="82"/>
        <v/>
      </c>
    </row>
    <row r="1789" spans="1:26" s="128" customFormat="1">
      <c r="A1789" s="655">
        <v>62090</v>
      </c>
      <c r="B1789" s="656" t="s">
        <v>33</v>
      </c>
      <c r="C1789" s="655" t="s">
        <v>2793</v>
      </c>
      <c r="D1789" s="656" t="s">
        <v>2426</v>
      </c>
      <c r="E1789" s="656" t="s">
        <v>2422</v>
      </c>
      <c r="F1789" s="655">
        <v>54913</v>
      </c>
      <c r="G1789" s="656" t="s">
        <v>81</v>
      </c>
      <c r="H1789" s="656" t="s">
        <v>1183</v>
      </c>
      <c r="I1789" s="656" t="s">
        <v>58</v>
      </c>
      <c r="J1789" s="655">
        <v>22</v>
      </c>
      <c r="K1789" s="655">
        <v>1</v>
      </c>
      <c r="L1789" s="656" t="s">
        <v>34</v>
      </c>
      <c r="M1789" s="656" t="s">
        <v>448</v>
      </c>
      <c r="N1789" s="656" t="s">
        <v>449</v>
      </c>
      <c r="O1789" s="656" t="s">
        <v>449</v>
      </c>
      <c r="P1789" s="656" t="s">
        <v>1176</v>
      </c>
      <c r="Q1789" s="657">
        <v>0</v>
      </c>
      <c r="R1789" s="657">
        <v>0</v>
      </c>
      <c r="S1789" s="657">
        <v>14484</v>
      </c>
      <c r="T1789" s="657">
        <v>14484</v>
      </c>
      <c r="U1789" s="657">
        <v>1638</v>
      </c>
      <c r="V1789" s="655">
        <v>2021</v>
      </c>
      <c r="W1789" s="659"/>
      <c r="X1789" s="660">
        <f t="shared" si="83"/>
        <v>8.8424908424908431</v>
      </c>
      <c r="Y1789" s="661" t="str">
        <f t="shared" si="81"/>
        <v/>
      </c>
      <c r="Z1789" s="661" t="str">
        <f t="shared" si="82"/>
        <v/>
      </c>
    </row>
    <row r="1790" spans="1:26" s="128" customFormat="1">
      <c r="A1790" s="655">
        <v>62091</v>
      </c>
      <c r="B1790" s="656" t="s">
        <v>33</v>
      </c>
      <c r="C1790" s="655" t="s">
        <v>2793</v>
      </c>
      <c r="D1790" s="656" t="s">
        <v>2427</v>
      </c>
      <c r="E1790" s="656" t="s">
        <v>2422</v>
      </c>
      <c r="F1790" s="655">
        <v>54913</v>
      </c>
      <c r="G1790" s="656" t="s">
        <v>81</v>
      </c>
      <c r="H1790" s="656" t="s">
        <v>1183</v>
      </c>
      <c r="I1790" s="656" t="s">
        <v>58</v>
      </c>
      <c r="J1790" s="655">
        <v>22</v>
      </c>
      <c r="K1790" s="655">
        <v>1</v>
      </c>
      <c r="L1790" s="656" t="s">
        <v>34</v>
      </c>
      <c r="M1790" s="656" t="s">
        <v>448</v>
      </c>
      <c r="N1790" s="656" t="s">
        <v>449</v>
      </c>
      <c r="O1790" s="656" t="s">
        <v>449</v>
      </c>
      <c r="P1790" s="656" t="s">
        <v>1176</v>
      </c>
      <c r="Q1790" s="657">
        <v>0</v>
      </c>
      <c r="R1790" s="657">
        <v>0</v>
      </c>
      <c r="S1790" s="657">
        <v>49079</v>
      </c>
      <c r="T1790" s="657">
        <v>49079</v>
      </c>
      <c r="U1790" s="657">
        <v>5550</v>
      </c>
      <c r="V1790" s="655">
        <v>2021</v>
      </c>
      <c r="W1790" s="659"/>
      <c r="X1790" s="660">
        <f t="shared" si="83"/>
        <v>8.8430630630630631</v>
      </c>
      <c r="Y1790" s="661" t="str">
        <f t="shared" si="81"/>
        <v/>
      </c>
      <c r="Z1790" s="661" t="str">
        <f t="shared" si="82"/>
        <v/>
      </c>
    </row>
    <row r="1791" spans="1:26" s="128" customFormat="1">
      <c r="A1791" s="655">
        <v>62092</v>
      </c>
      <c r="B1791" s="656" t="s">
        <v>33</v>
      </c>
      <c r="C1791" s="655" t="s">
        <v>2793</v>
      </c>
      <c r="D1791" s="656" t="s">
        <v>2428</v>
      </c>
      <c r="E1791" s="656" t="s">
        <v>2422</v>
      </c>
      <c r="F1791" s="655">
        <v>54913</v>
      </c>
      <c r="G1791" s="656" t="s">
        <v>81</v>
      </c>
      <c r="H1791" s="656" t="s">
        <v>1183</v>
      </c>
      <c r="I1791" s="656" t="s">
        <v>58</v>
      </c>
      <c r="J1791" s="655">
        <v>22</v>
      </c>
      <c r="K1791" s="655">
        <v>1</v>
      </c>
      <c r="L1791" s="656" t="s">
        <v>34</v>
      </c>
      <c r="M1791" s="656" t="s">
        <v>448</v>
      </c>
      <c r="N1791" s="656" t="s">
        <v>449</v>
      </c>
      <c r="O1791" s="656" t="s">
        <v>449</v>
      </c>
      <c r="P1791" s="656" t="s">
        <v>1176</v>
      </c>
      <c r="Q1791" s="657">
        <v>0</v>
      </c>
      <c r="R1791" s="657">
        <v>0</v>
      </c>
      <c r="S1791" s="657">
        <v>44797</v>
      </c>
      <c r="T1791" s="657">
        <v>44797</v>
      </c>
      <c r="U1791" s="657">
        <v>5066</v>
      </c>
      <c r="V1791" s="655">
        <v>2021</v>
      </c>
      <c r="W1791" s="659"/>
      <c r="X1791" s="660">
        <f t="shared" si="83"/>
        <v>8.8426766679826301</v>
      </c>
      <c r="Y1791" s="661" t="str">
        <f t="shared" si="81"/>
        <v/>
      </c>
      <c r="Z1791" s="661" t="str">
        <f t="shared" si="82"/>
        <v/>
      </c>
    </row>
    <row r="1792" spans="1:26" s="128" customFormat="1">
      <c r="A1792" s="655">
        <v>62093</v>
      </c>
      <c r="B1792" s="656" t="s">
        <v>33</v>
      </c>
      <c r="C1792" s="655" t="s">
        <v>2793</v>
      </c>
      <c r="D1792" s="656" t="s">
        <v>2429</v>
      </c>
      <c r="E1792" s="656" t="s">
        <v>2422</v>
      </c>
      <c r="F1792" s="655">
        <v>54913</v>
      </c>
      <c r="G1792" s="656" t="s">
        <v>81</v>
      </c>
      <c r="H1792" s="656" t="s">
        <v>1183</v>
      </c>
      <c r="I1792" s="656" t="s">
        <v>58</v>
      </c>
      <c r="J1792" s="655">
        <v>22</v>
      </c>
      <c r="K1792" s="655">
        <v>1</v>
      </c>
      <c r="L1792" s="656" t="s">
        <v>34</v>
      </c>
      <c r="M1792" s="656" t="s">
        <v>448</v>
      </c>
      <c r="N1792" s="656" t="s">
        <v>449</v>
      </c>
      <c r="O1792" s="656" t="s">
        <v>449</v>
      </c>
      <c r="P1792" s="656" t="s">
        <v>1176</v>
      </c>
      <c r="Q1792" s="657">
        <v>0</v>
      </c>
      <c r="R1792" s="657">
        <v>0</v>
      </c>
      <c r="S1792" s="657">
        <v>16997</v>
      </c>
      <c r="T1792" s="657">
        <v>16997</v>
      </c>
      <c r="U1792" s="657">
        <v>1922</v>
      </c>
      <c r="V1792" s="655">
        <v>2021</v>
      </c>
      <c r="W1792" s="659"/>
      <c r="X1792" s="660">
        <f t="shared" si="83"/>
        <v>8.8433922996878245</v>
      </c>
      <c r="Y1792" s="661" t="str">
        <f t="shared" si="81"/>
        <v/>
      </c>
      <c r="Z1792" s="661" t="str">
        <f t="shared" si="82"/>
        <v/>
      </c>
    </row>
    <row r="1793" spans="1:26" s="128" customFormat="1">
      <c r="A1793" s="655">
        <v>62097</v>
      </c>
      <c r="B1793" s="656" t="s">
        <v>33</v>
      </c>
      <c r="C1793" s="655" t="s">
        <v>2793</v>
      </c>
      <c r="D1793" s="656" t="s">
        <v>2430</v>
      </c>
      <c r="E1793" s="656" t="s">
        <v>2422</v>
      </c>
      <c r="F1793" s="655">
        <v>54913</v>
      </c>
      <c r="G1793" s="656" t="s">
        <v>81</v>
      </c>
      <c r="H1793" s="656" t="s">
        <v>1183</v>
      </c>
      <c r="I1793" s="656" t="s">
        <v>58</v>
      </c>
      <c r="J1793" s="655">
        <v>22</v>
      </c>
      <c r="K1793" s="655">
        <v>1</v>
      </c>
      <c r="L1793" s="656" t="s">
        <v>34</v>
      </c>
      <c r="M1793" s="656" t="s">
        <v>448</v>
      </c>
      <c r="N1793" s="656" t="s">
        <v>449</v>
      </c>
      <c r="O1793" s="656" t="s">
        <v>449</v>
      </c>
      <c r="P1793" s="656" t="s">
        <v>1176</v>
      </c>
      <c r="Q1793" s="657">
        <v>0</v>
      </c>
      <c r="R1793" s="657">
        <v>0</v>
      </c>
      <c r="S1793" s="657">
        <v>21446</v>
      </c>
      <c r="T1793" s="657">
        <v>21446</v>
      </c>
      <c r="U1793" s="657">
        <v>2425</v>
      </c>
      <c r="V1793" s="655">
        <v>2021</v>
      </c>
      <c r="W1793" s="659"/>
      <c r="X1793" s="660">
        <f t="shared" si="83"/>
        <v>8.8437113402061858</v>
      </c>
      <c r="Y1793" s="661" t="str">
        <f t="shared" si="81"/>
        <v/>
      </c>
      <c r="Z1793" s="661" t="str">
        <f t="shared" si="82"/>
        <v/>
      </c>
    </row>
    <row r="1794" spans="1:26" s="128" customFormat="1" hidden="1">
      <c r="A1794" s="655">
        <v>62106</v>
      </c>
      <c r="B1794" s="656" t="s">
        <v>33</v>
      </c>
      <c r="C1794" s="655" t="s">
        <v>2793</v>
      </c>
      <c r="D1794" s="656" t="s">
        <v>2431</v>
      </c>
      <c r="E1794" s="656" t="s">
        <v>2431</v>
      </c>
      <c r="F1794" s="655">
        <v>61648</v>
      </c>
      <c r="G1794" s="656" t="s">
        <v>131</v>
      </c>
      <c r="H1794" s="656" t="s">
        <v>1183</v>
      </c>
      <c r="I1794" s="656" t="s">
        <v>58</v>
      </c>
      <c r="J1794" s="655">
        <v>22</v>
      </c>
      <c r="K1794" s="655">
        <v>2</v>
      </c>
      <c r="L1794" s="656" t="s">
        <v>52</v>
      </c>
      <c r="M1794" s="656" t="s">
        <v>71</v>
      </c>
      <c r="N1794" s="656" t="s">
        <v>72</v>
      </c>
      <c r="O1794" s="656" t="s">
        <v>72</v>
      </c>
      <c r="P1794" s="656" t="s">
        <v>1176</v>
      </c>
      <c r="Q1794" s="657">
        <v>0</v>
      </c>
      <c r="R1794" s="657">
        <v>0</v>
      </c>
      <c r="S1794" s="657">
        <v>56525</v>
      </c>
      <c r="T1794" s="657">
        <v>56525</v>
      </c>
      <c r="U1794" s="657">
        <v>6392</v>
      </c>
      <c r="V1794" s="655">
        <v>2021</v>
      </c>
      <c r="W1794" s="659"/>
      <c r="X1794" s="660">
        <f t="shared" si="83"/>
        <v>8.8430851063829792</v>
      </c>
      <c r="Y1794" s="661" t="str">
        <f t="shared" si="81"/>
        <v/>
      </c>
      <c r="Z1794" s="661" t="str">
        <f t="shared" si="82"/>
        <v/>
      </c>
    </row>
    <row r="1795" spans="1:26" s="128" customFormat="1" hidden="1">
      <c r="A1795" s="655">
        <v>62107</v>
      </c>
      <c r="B1795" s="656" t="s">
        <v>33</v>
      </c>
      <c r="C1795" s="655" t="s">
        <v>2793</v>
      </c>
      <c r="D1795" s="656" t="s">
        <v>2842</v>
      </c>
      <c r="E1795" s="656" t="s">
        <v>2842</v>
      </c>
      <c r="F1795" s="655">
        <v>61649</v>
      </c>
      <c r="G1795" s="656" t="s">
        <v>131</v>
      </c>
      <c r="H1795" s="656" t="s">
        <v>1183</v>
      </c>
      <c r="I1795" s="656" t="s">
        <v>58</v>
      </c>
      <c r="J1795" s="655">
        <v>22</v>
      </c>
      <c r="K1795" s="655">
        <v>2</v>
      </c>
      <c r="L1795" s="656" t="s">
        <v>52</v>
      </c>
      <c r="M1795" s="656" t="s">
        <v>71</v>
      </c>
      <c r="N1795" s="656" t="s">
        <v>72</v>
      </c>
      <c r="O1795" s="656" t="s">
        <v>72</v>
      </c>
      <c r="P1795" s="656" t="s">
        <v>1176</v>
      </c>
      <c r="Q1795" s="657">
        <v>0</v>
      </c>
      <c r="R1795" s="657">
        <v>0</v>
      </c>
      <c r="S1795" s="657">
        <v>58816</v>
      </c>
      <c r="T1795" s="657">
        <v>58816</v>
      </c>
      <c r="U1795" s="657">
        <v>6651</v>
      </c>
      <c r="V1795" s="655">
        <v>2021</v>
      </c>
      <c r="W1795" s="659"/>
      <c r="X1795" s="660">
        <f t="shared" si="83"/>
        <v>8.8431814764697041</v>
      </c>
      <c r="Y1795" s="661" t="str">
        <f t="shared" si="81"/>
        <v/>
      </c>
      <c r="Z1795" s="661" t="str">
        <f t="shared" si="82"/>
        <v/>
      </c>
    </row>
    <row r="1796" spans="1:26" s="128" customFormat="1" hidden="1">
      <c r="A1796" s="655">
        <v>62108</v>
      </c>
      <c r="B1796" s="656" t="s">
        <v>33</v>
      </c>
      <c r="C1796" s="655" t="s">
        <v>2793</v>
      </c>
      <c r="D1796" s="656" t="s">
        <v>2843</v>
      </c>
      <c r="E1796" s="656" t="s">
        <v>2843</v>
      </c>
      <c r="F1796" s="655">
        <v>61650</v>
      </c>
      <c r="G1796" s="656" t="s">
        <v>131</v>
      </c>
      <c r="H1796" s="656" t="s">
        <v>1183</v>
      </c>
      <c r="I1796" s="656" t="s">
        <v>58</v>
      </c>
      <c r="J1796" s="655">
        <v>22</v>
      </c>
      <c r="K1796" s="655">
        <v>2</v>
      </c>
      <c r="L1796" s="656" t="s">
        <v>52</v>
      </c>
      <c r="M1796" s="656" t="s">
        <v>71</v>
      </c>
      <c r="N1796" s="656" t="s">
        <v>72</v>
      </c>
      <c r="O1796" s="656" t="s">
        <v>72</v>
      </c>
      <c r="P1796" s="656" t="s">
        <v>1176</v>
      </c>
      <c r="Q1796" s="657">
        <v>0</v>
      </c>
      <c r="R1796" s="657">
        <v>0</v>
      </c>
      <c r="S1796" s="657">
        <v>56128</v>
      </c>
      <c r="T1796" s="657">
        <v>56128</v>
      </c>
      <c r="U1796" s="657">
        <v>6347</v>
      </c>
      <c r="V1796" s="655">
        <v>2021</v>
      </c>
      <c r="W1796" s="659"/>
      <c r="X1796" s="660">
        <f t="shared" si="83"/>
        <v>8.8432330234756584</v>
      </c>
      <c r="Y1796" s="661" t="str">
        <f t="shared" si="81"/>
        <v/>
      </c>
      <c r="Z1796" s="661" t="str">
        <f t="shared" si="82"/>
        <v/>
      </c>
    </row>
    <row r="1797" spans="1:26" s="128" customFormat="1" hidden="1">
      <c r="A1797" s="655">
        <v>62109</v>
      </c>
      <c r="B1797" s="656" t="s">
        <v>33</v>
      </c>
      <c r="C1797" s="655" t="s">
        <v>2793</v>
      </c>
      <c r="D1797" s="656" t="s">
        <v>2844</v>
      </c>
      <c r="E1797" s="656" t="s">
        <v>2844</v>
      </c>
      <c r="F1797" s="655">
        <v>61651</v>
      </c>
      <c r="G1797" s="656" t="s">
        <v>131</v>
      </c>
      <c r="H1797" s="656" t="s">
        <v>1183</v>
      </c>
      <c r="I1797" s="656" t="s">
        <v>58</v>
      </c>
      <c r="J1797" s="655">
        <v>22</v>
      </c>
      <c r="K1797" s="655">
        <v>2</v>
      </c>
      <c r="L1797" s="656" t="s">
        <v>52</v>
      </c>
      <c r="M1797" s="656" t="s">
        <v>71</v>
      </c>
      <c r="N1797" s="656" t="s">
        <v>72</v>
      </c>
      <c r="O1797" s="656" t="s">
        <v>72</v>
      </c>
      <c r="P1797" s="656" t="s">
        <v>1176</v>
      </c>
      <c r="Q1797" s="657">
        <v>0</v>
      </c>
      <c r="R1797" s="657">
        <v>0</v>
      </c>
      <c r="S1797" s="657">
        <v>54402</v>
      </c>
      <c r="T1797" s="657">
        <v>54402</v>
      </c>
      <c r="U1797" s="657">
        <v>6152</v>
      </c>
      <c r="V1797" s="655">
        <v>2021</v>
      </c>
      <c r="W1797" s="659"/>
      <c r="X1797" s="660">
        <f t="shared" si="83"/>
        <v>8.8429778933680101</v>
      </c>
      <c r="Y1797" s="661" t="str">
        <f t="shared" si="81"/>
        <v/>
      </c>
      <c r="Z1797" s="661" t="str">
        <f t="shared" si="82"/>
        <v/>
      </c>
    </row>
    <row r="1798" spans="1:26" s="128" customFormat="1" hidden="1">
      <c r="A1798" s="655">
        <v>62110</v>
      </c>
      <c r="B1798" s="656" t="s">
        <v>33</v>
      </c>
      <c r="C1798" s="655" t="s">
        <v>2793</v>
      </c>
      <c r="D1798" s="656" t="s">
        <v>2432</v>
      </c>
      <c r="E1798" s="656" t="s">
        <v>2432</v>
      </c>
      <c r="F1798" s="655">
        <v>61652</v>
      </c>
      <c r="G1798" s="656" t="s">
        <v>131</v>
      </c>
      <c r="H1798" s="656" t="s">
        <v>1183</v>
      </c>
      <c r="I1798" s="656" t="s">
        <v>58</v>
      </c>
      <c r="J1798" s="655">
        <v>22</v>
      </c>
      <c r="K1798" s="655">
        <v>2</v>
      </c>
      <c r="L1798" s="656" t="s">
        <v>52</v>
      </c>
      <c r="M1798" s="656" t="s">
        <v>71</v>
      </c>
      <c r="N1798" s="656" t="s">
        <v>72</v>
      </c>
      <c r="O1798" s="656" t="s">
        <v>72</v>
      </c>
      <c r="P1798" s="656" t="s">
        <v>1176</v>
      </c>
      <c r="Q1798" s="657">
        <v>0</v>
      </c>
      <c r="R1798" s="657">
        <v>0</v>
      </c>
      <c r="S1798" s="657">
        <v>59479</v>
      </c>
      <c r="T1798" s="657">
        <v>59479</v>
      </c>
      <c r="U1798" s="657">
        <v>6726</v>
      </c>
      <c r="V1798" s="655">
        <v>2021</v>
      </c>
      <c r="W1798" s="659"/>
      <c r="X1798" s="660">
        <f t="shared" si="83"/>
        <v>8.8431460005947073</v>
      </c>
      <c r="Y1798" s="661" t="str">
        <f t="shared" si="81"/>
        <v/>
      </c>
      <c r="Z1798" s="661" t="str">
        <f t="shared" si="82"/>
        <v/>
      </c>
    </row>
    <row r="1799" spans="1:26" s="128" customFormat="1" hidden="1">
      <c r="A1799" s="655">
        <v>62111</v>
      </c>
      <c r="B1799" s="656" t="s">
        <v>33</v>
      </c>
      <c r="C1799" s="655" t="s">
        <v>2793</v>
      </c>
      <c r="D1799" s="656" t="s">
        <v>2433</v>
      </c>
      <c r="E1799" s="656" t="s">
        <v>2433</v>
      </c>
      <c r="F1799" s="655">
        <v>61653</v>
      </c>
      <c r="G1799" s="656" t="s">
        <v>131</v>
      </c>
      <c r="H1799" s="656" t="s">
        <v>1183</v>
      </c>
      <c r="I1799" s="656" t="s">
        <v>58</v>
      </c>
      <c r="J1799" s="655">
        <v>22</v>
      </c>
      <c r="K1799" s="655">
        <v>2</v>
      </c>
      <c r="L1799" s="656" t="s">
        <v>52</v>
      </c>
      <c r="M1799" s="656" t="s">
        <v>71</v>
      </c>
      <c r="N1799" s="656" t="s">
        <v>72</v>
      </c>
      <c r="O1799" s="656" t="s">
        <v>72</v>
      </c>
      <c r="P1799" s="656" t="s">
        <v>1176</v>
      </c>
      <c r="Q1799" s="657">
        <v>0</v>
      </c>
      <c r="R1799" s="657">
        <v>0</v>
      </c>
      <c r="S1799" s="657">
        <v>58452</v>
      </c>
      <c r="T1799" s="657">
        <v>58452</v>
      </c>
      <c r="U1799" s="657">
        <v>6610</v>
      </c>
      <c r="V1799" s="655">
        <v>2021</v>
      </c>
      <c r="W1799" s="659"/>
      <c r="X1799" s="660">
        <f t="shared" si="83"/>
        <v>8.8429652042360054</v>
      </c>
      <c r="Y1799" s="661" t="str">
        <f t="shared" ref="Y1799:Y1862" si="84">IF(AND($M1799=$Y$2,$N1799=$Y$3,NOT($Q1799=$R1799),NOT($U1799=0)),IF($K1799=5,$S1799/($U1799+(8/5)*$U1799),IF($K1799=7,$S1799/($U1799+(29/25)*$U1799),"")),"")</f>
        <v/>
      </c>
      <c r="Z1799" s="661" t="str">
        <f t="shared" ref="Z1799:Z1862" si="85">IF(AND($M1799=$Y$2,$N1799=$Y$4,NOT($Q1799=$R1799),NOT($U1799=0)),IF($K1799=5,$S1799/($U1799+(8/5)*$U1799),IF($K1799=7,$S1799/($U1799+(29/25)*$U1799),"")),"")</f>
        <v/>
      </c>
    </row>
    <row r="1800" spans="1:26" s="128" customFormat="1" hidden="1">
      <c r="A1800" s="655">
        <v>62112</v>
      </c>
      <c r="B1800" s="656" t="s">
        <v>33</v>
      </c>
      <c r="C1800" s="655" t="s">
        <v>2793</v>
      </c>
      <c r="D1800" s="656" t="s">
        <v>2434</v>
      </c>
      <c r="E1800" s="656" t="s">
        <v>2434</v>
      </c>
      <c r="F1800" s="655">
        <v>61654</v>
      </c>
      <c r="G1800" s="656" t="s">
        <v>131</v>
      </c>
      <c r="H1800" s="656" t="s">
        <v>1183</v>
      </c>
      <c r="I1800" s="656" t="s">
        <v>58</v>
      </c>
      <c r="J1800" s="655">
        <v>22</v>
      </c>
      <c r="K1800" s="655">
        <v>2</v>
      </c>
      <c r="L1800" s="656" t="s">
        <v>52</v>
      </c>
      <c r="M1800" s="656" t="s">
        <v>71</v>
      </c>
      <c r="N1800" s="656" t="s">
        <v>72</v>
      </c>
      <c r="O1800" s="656" t="s">
        <v>72</v>
      </c>
      <c r="P1800" s="656" t="s">
        <v>1176</v>
      </c>
      <c r="Q1800" s="657">
        <v>0</v>
      </c>
      <c r="R1800" s="657">
        <v>0</v>
      </c>
      <c r="S1800" s="657">
        <v>60451</v>
      </c>
      <c r="T1800" s="657">
        <v>60451</v>
      </c>
      <c r="U1800" s="657">
        <v>6836</v>
      </c>
      <c r="V1800" s="655">
        <v>2021</v>
      </c>
      <c r="W1800" s="659"/>
      <c r="X1800" s="660">
        <f t="shared" ref="X1800:X1863" si="86">IF(OR(K1800&gt;3,T1800=0,NOT(U1800&gt;0)),"",T1800/U1800)</f>
        <v>8.8430368636629613</v>
      </c>
      <c r="Y1800" s="661" t="str">
        <f t="shared" si="84"/>
        <v/>
      </c>
      <c r="Z1800" s="661" t="str">
        <f t="shared" si="85"/>
        <v/>
      </c>
    </row>
    <row r="1801" spans="1:26" s="128" customFormat="1" hidden="1">
      <c r="A1801" s="655">
        <v>62118</v>
      </c>
      <c r="B1801" s="656" t="s">
        <v>33</v>
      </c>
      <c r="C1801" s="655" t="s">
        <v>2793</v>
      </c>
      <c r="D1801" s="656" t="s">
        <v>2845</v>
      </c>
      <c r="E1801" s="656" t="s">
        <v>2846</v>
      </c>
      <c r="F1801" s="655">
        <v>61666</v>
      </c>
      <c r="G1801" s="656" t="s">
        <v>131</v>
      </c>
      <c r="H1801" s="656" t="s">
        <v>1183</v>
      </c>
      <c r="I1801" s="656" t="s">
        <v>58</v>
      </c>
      <c r="J1801" s="655">
        <v>22</v>
      </c>
      <c r="K1801" s="655">
        <v>2</v>
      </c>
      <c r="L1801" s="656" t="s">
        <v>52</v>
      </c>
      <c r="M1801" s="656" t="s">
        <v>448</v>
      </c>
      <c r="N1801" s="656" t="s">
        <v>449</v>
      </c>
      <c r="O1801" s="656" t="s">
        <v>449</v>
      </c>
      <c r="P1801" s="656" t="s">
        <v>1176</v>
      </c>
      <c r="Q1801" s="657">
        <v>0</v>
      </c>
      <c r="R1801" s="657">
        <v>0</v>
      </c>
      <c r="S1801" s="657">
        <v>38592</v>
      </c>
      <c r="T1801" s="657">
        <v>38592</v>
      </c>
      <c r="U1801" s="657">
        <v>4364</v>
      </c>
      <c r="V1801" s="655">
        <v>2021</v>
      </c>
      <c r="W1801" s="659"/>
      <c r="X1801" s="660">
        <f t="shared" si="86"/>
        <v>8.8432630614115482</v>
      </c>
      <c r="Y1801" s="661" t="str">
        <f t="shared" si="84"/>
        <v/>
      </c>
      <c r="Z1801" s="661" t="str">
        <f t="shared" si="85"/>
        <v/>
      </c>
    </row>
    <row r="1802" spans="1:26" s="128" customFormat="1">
      <c r="A1802" s="655">
        <v>62135</v>
      </c>
      <c r="B1802" s="656" t="s">
        <v>33</v>
      </c>
      <c r="C1802" s="655" t="s">
        <v>2793</v>
      </c>
      <c r="D1802" s="656" t="s">
        <v>2847</v>
      </c>
      <c r="E1802" s="656" t="s">
        <v>2210</v>
      </c>
      <c r="F1802" s="655">
        <v>61012</v>
      </c>
      <c r="G1802" s="656" t="s">
        <v>81</v>
      </c>
      <c r="H1802" s="656" t="s">
        <v>1183</v>
      </c>
      <c r="I1802" s="656" t="s">
        <v>58</v>
      </c>
      <c r="J1802" s="655">
        <v>22</v>
      </c>
      <c r="K1802" s="655">
        <v>2</v>
      </c>
      <c r="L1802" s="656" t="s">
        <v>52</v>
      </c>
      <c r="M1802" s="656" t="s">
        <v>448</v>
      </c>
      <c r="N1802" s="656" t="s">
        <v>449</v>
      </c>
      <c r="O1802" s="656" t="s">
        <v>449</v>
      </c>
      <c r="P1802" s="656" t="s">
        <v>1176</v>
      </c>
      <c r="Q1802" s="657">
        <v>0</v>
      </c>
      <c r="R1802" s="657">
        <v>0</v>
      </c>
      <c r="S1802" s="657">
        <v>49724</v>
      </c>
      <c r="T1802" s="657">
        <v>49724</v>
      </c>
      <c r="U1802" s="657">
        <v>5623</v>
      </c>
      <c r="V1802" s="655">
        <v>2021</v>
      </c>
      <c r="W1802" s="659"/>
      <c r="X1802" s="660">
        <f t="shared" si="86"/>
        <v>8.842966388049085</v>
      </c>
      <c r="Y1802" s="661" t="str">
        <f t="shared" si="84"/>
        <v/>
      </c>
      <c r="Z1802" s="661" t="str">
        <f t="shared" si="85"/>
        <v/>
      </c>
    </row>
    <row r="1803" spans="1:26" s="128" customFormat="1" hidden="1">
      <c r="A1803" s="655">
        <v>62145</v>
      </c>
      <c r="B1803" s="656" t="s">
        <v>33</v>
      </c>
      <c r="C1803" s="655" t="s">
        <v>2793</v>
      </c>
      <c r="D1803" s="656" t="s">
        <v>2435</v>
      </c>
      <c r="E1803" s="656" t="s">
        <v>2435</v>
      </c>
      <c r="F1803" s="655">
        <v>61681</v>
      </c>
      <c r="G1803" s="656" t="s">
        <v>57</v>
      </c>
      <c r="H1803" s="656" t="s">
        <v>1182</v>
      </c>
      <c r="I1803" s="656" t="s">
        <v>58</v>
      </c>
      <c r="J1803" s="655">
        <v>22</v>
      </c>
      <c r="K1803" s="655">
        <v>2</v>
      </c>
      <c r="L1803" s="656" t="s">
        <v>52</v>
      </c>
      <c r="M1803" s="656" t="s">
        <v>448</v>
      </c>
      <c r="N1803" s="656" t="s">
        <v>449</v>
      </c>
      <c r="O1803" s="656" t="s">
        <v>449</v>
      </c>
      <c r="P1803" s="656" t="s">
        <v>1176</v>
      </c>
      <c r="Q1803" s="657">
        <v>0</v>
      </c>
      <c r="R1803" s="657">
        <v>0</v>
      </c>
      <c r="S1803" s="657">
        <v>27395</v>
      </c>
      <c r="T1803" s="657">
        <v>27395</v>
      </c>
      <c r="U1803" s="657">
        <v>3098</v>
      </c>
      <c r="V1803" s="655">
        <v>2021</v>
      </c>
      <c r="W1803" s="659"/>
      <c r="X1803" s="660">
        <f t="shared" si="86"/>
        <v>8.8428018076178176</v>
      </c>
      <c r="Y1803" s="661" t="str">
        <f t="shared" si="84"/>
        <v/>
      </c>
      <c r="Z1803" s="661" t="str">
        <f t="shared" si="85"/>
        <v/>
      </c>
    </row>
    <row r="1804" spans="1:26" s="128" customFormat="1" ht="25" hidden="1">
      <c r="A1804" s="655">
        <v>62146</v>
      </c>
      <c r="B1804" s="656" t="s">
        <v>33</v>
      </c>
      <c r="C1804" s="655" t="s">
        <v>2793</v>
      </c>
      <c r="D1804" s="656" t="s">
        <v>2436</v>
      </c>
      <c r="E1804" s="656" t="s">
        <v>2437</v>
      </c>
      <c r="F1804" s="655">
        <v>61682</v>
      </c>
      <c r="G1804" s="656" t="s">
        <v>57</v>
      </c>
      <c r="H1804" s="656" t="s">
        <v>1182</v>
      </c>
      <c r="I1804" s="656" t="s">
        <v>58</v>
      </c>
      <c r="J1804" s="655">
        <v>22</v>
      </c>
      <c r="K1804" s="655">
        <v>2</v>
      </c>
      <c r="L1804" s="656" t="s">
        <v>52</v>
      </c>
      <c r="M1804" s="656" t="s">
        <v>448</v>
      </c>
      <c r="N1804" s="656" t="s">
        <v>449</v>
      </c>
      <c r="O1804" s="656" t="s">
        <v>449</v>
      </c>
      <c r="P1804" s="656" t="s">
        <v>1176</v>
      </c>
      <c r="Q1804" s="657">
        <v>0</v>
      </c>
      <c r="R1804" s="657">
        <v>0</v>
      </c>
      <c r="S1804" s="657">
        <v>30535</v>
      </c>
      <c r="T1804" s="657">
        <v>30535</v>
      </c>
      <c r="U1804" s="657">
        <v>3453</v>
      </c>
      <c r="V1804" s="655">
        <v>2021</v>
      </c>
      <c r="W1804" s="659"/>
      <c r="X1804" s="660">
        <f t="shared" si="86"/>
        <v>8.8430350419924704</v>
      </c>
      <c r="Y1804" s="661" t="str">
        <f t="shared" si="84"/>
        <v/>
      </c>
      <c r="Z1804" s="661" t="str">
        <f t="shared" si="85"/>
        <v/>
      </c>
    </row>
    <row r="1805" spans="1:26" s="128" customFormat="1" ht="25" hidden="1">
      <c r="A1805" s="655">
        <v>62147</v>
      </c>
      <c r="B1805" s="656" t="s">
        <v>33</v>
      </c>
      <c r="C1805" s="655" t="s">
        <v>2793</v>
      </c>
      <c r="D1805" s="656" t="s">
        <v>2848</v>
      </c>
      <c r="E1805" s="656" t="s">
        <v>2849</v>
      </c>
      <c r="F1805" s="655">
        <v>61687</v>
      </c>
      <c r="G1805" s="656" t="s">
        <v>57</v>
      </c>
      <c r="H1805" s="656" t="s">
        <v>1182</v>
      </c>
      <c r="I1805" s="656" t="s">
        <v>58</v>
      </c>
      <c r="J1805" s="655">
        <v>22</v>
      </c>
      <c r="K1805" s="655">
        <v>2</v>
      </c>
      <c r="L1805" s="656" t="s">
        <v>52</v>
      </c>
      <c r="M1805" s="656" t="s">
        <v>1890</v>
      </c>
      <c r="N1805" s="656" t="s">
        <v>1052</v>
      </c>
      <c r="O1805" s="656" t="s">
        <v>82</v>
      </c>
      <c r="P1805" s="656" t="s">
        <v>2794</v>
      </c>
      <c r="Q1805" s="657">
        <v>15952</v>
      </c>
      <c r="R1805" s="657">
        <v>15952</v>
      </c>
      <c r="S1805" s="657">
        <v>0</v>
      </c>
      <c r="T1805" s="657">
        <v>0</v>
      </c>
      <c r="U1805" s="657">
        <v>-2100</v>
      </c>
      <c r="V1805" s="655">
        <v>2021</v>
      </c>
      <c r="W1805" s="659"/>
      <c r="X1805" s="660" t="str">
        <f t="shared" si="86"/>
        <v/>
      </c>
      <c r="Y1805" s="661" t="str">
        <f t="shared" si="84"/>
        <v/>
      </c>
      <c r="Z1805" s="661" t="str">
        <f t="shared" si="85"/>
        <v/>
      </c>
    </row>
    <row r="1806" spans="1:26" s="128" customFormat="1" ht="25" hidden="1">
      <c r="A1806" s="655">
        <v>62154</v>
      </c>
      <c r="B1806" s="656" t="s">
        <v>33</v>
      </c>
      <c r="C1806" s="655" t="s">
        <v>2793</v>
      </c>
      <c r="D1806" s="656" t="s">
        <v>3142</v>
      </c>
      <c r="E1806" s="656" t="s">
        <v>2852</v>
      </c>
      <c r="F1806" s="655">
        <v>61194</v>
      </c>
      <c r="G1806" s="656" t="s">
        <v>57</v>
      </c>
      <c r="H1806" s="656" t="s">
        <v>1182</v>
      </c>
      <c r="I1806" s="656" t="s">
        <v>58</v>
      </c>
      <c r="J1806" s="655">
        <v>22</v>
      </c>
      <c r="K1806" s="655">
        <v>2</v>
      </c>
      <c r="L1806" s="656" t="s">
        <v>52</v>
      </c>
      <c r="M1806" s="656" t="s">
        <v>448</v>
      </c>
      <c r="N1806" s="656" t="s">
        <v>449</v>
      </c>
      <c r="O1806" s="656" t="s">
        <v>449</v>
      </c>
      <c r="P1806" s="656" t="s">
        <v>1176</v>
      </c>
      <c r="Q1806" s="657">
        <v>0</v>
      </c>
      <c r="R1806" s="657">
        <v>0</v>
      </c>
      <c r="S1806" s="657">
        <v>28087</v>
      </c>
      <c r="T1806" s="657">
        <v>28087</v>
      </c>
      <c r="U1806" s="657">
        <v>3176</v>
      </c>
      <c r="V1806" s="655">
        <v>2021</v>
      </c>
      <c r="W1806" s="659"/>
      <c r="X1806" s="660">
        <f t="shared" si="86"/>
        <v>8.8435138539042821</v>
      </c>
      <c r="Y1806" s="661" t="str">
        <f t="shared" si="84"/>
        <v/>
      </c>
      <c r="Z1806" s="661" t="str">
        <f t="shared" si="85"/>
        <v/>
      </c>
    </row>
    <row r="1807" spans="1:26" s="128" customFormat="1" ht="25" hidden="1">
      <c r="A1807" s="655">
        <v>62155</v>
      </c>
      <c r="B1807" s="656" t="s">
        <v>33</v>
      </c>
      <c r="C1807" s="655" t="s">
        <v>2793</v>
      </c>
      <c r="D1807" s="656" t="s">
        <v>2850</v>
      </c>
      <c r="E1807" s="656" t="s">
        <v>2418</v>
      </c>
      <c r="F1807" s="655">
        <v>61610</v>
      </c>
      <c r="G1807" s="656" t="s">
        <v>57</v>
      </c>
      <c r="H1807" s="656" t="s">
        <v>1182</v>
      </c>
      <c r="I1807" s="656" t="s">
        <v>58</v>
      </c>
      <c r="J1807" s="655">
        <v>22</v>
      </c>
      <c r="K1807" s="655">
        <v>2</v>
      </c>
      <c r="L1807" s="656" t="s">
        <v>52</v>
      </c>
      <c r="M1807" s="656" t="s">
        <v>448</v>
      </c>
      <c r="N1807" s="656" t="s">
        <v>449</v>
      </c>
      <c r="O1807" s="656" t="s">
        <v>449</v>
      </c>
      <c r="P1807" s="656" t="s">
        <v>1176</v>
      </c>
      <c r="Q1807" s="657">
        <v>0</v>
      </c>
      <c r="R1807" s="657">
        <v>0</v>
      </c>
      <c r="S1807" s="657">
        <v>17022</v>
      </c>
      <c r="T1807" s="657">
        <v>17022</v>
      </c>
      <c r="U1807" s="657">
        <v>1925</v>
      </c>
      <c r="V1807" s="655">
        <v>2021</v>
      </c>
      <c r="W1807" s="659"/>
      <c r="X1807" s="660">
        <f t="shared" si="86"/>
        <v>8.8425974025974021</v>
      </c>
      <c r="Y1807" s="661" t="str">
        <f t="shared" si="84"/>
        <v/>
      </c>
      <c r="Z1807" s="661" t="str">
        <f t="shared" si="85"/>
        <v/>
      </c>
    </row>
    <row r="1808" spans="1:26" s="128" customFormat="1" ht="25" hidden="1">
      <c r="A1808" s="655">
        <v>62156</v>
      </c>
      <c r="B1808" s="656" t="s">
        <v>33</v>
      </c>
      <c r="C1808" s="655" t="s">
        <v>2793</v>
      </c>
      <c r="D1808" s="656" t="s">
        <v>2851</v>
      </c>
      <c r="E1808" s="656" t="s">
        <v>2852</v>
      </c>
      <c r="F1808" s="655">
        <v>61194</v>
      </c>
      <c r="G1808" s="656" t="s">
        <v>57</v>
      </c>
      <c r="H1808" s="656" t="s">
        <v>1182</v>
      </c>
      <c r="I1808" s="656" t="s">
        <v>58</v>
      </c>
      <c r="J1808" s="655">
        <v>22</v>
      </c>
      <c r="K1808" s="655">
        <v>2</v>
      </c>
      <c r="L1808" s="656" t="s">
        <v>52</v>
      </c>
      <c r="M1808" s="656" t="s">
        <v>448</v>
      </c>
      <c r="N1808" s="656" t="s">
        <v>449</v>
      </c>
      <c r="O1808" s="656" t="s">
        <v>449</v>
      </c>
      <c r="P1808" s="656" t="s">
        <v>1176</v>
      </c>
      <c r="Q1808" s="657">
        <v>0</v>
      </c>
      <c r="R1808" s="657">
        <v>0</v>
      </c>
      <c r="S1808" s="657">
        <v>26157</v>
      </c>
      <c r="T1808" s="657">
        <v>26157</v>
      </c>
      <c r="U1808" s="657">
        <v>2958</v>
      </c>
      <c r="V1808" s="655">
        <v>2021</v>
      </c>
      <c r="W1808" s="659"/>
      <c r="X1808" s="660">
        <f t="shared" si="86"/>
        <v>8.8427991886409743</v>
      </c>
      <c r="Y1808" s="661" t="str">
        <f t="shared" si="84"/>
        <v/>
      </c>
      <c r="Z1808" s="661" t="str">
        <f t="shared" si="85"/>
        <v/>
      </c>
    </row>
    <row r="1809" spans="1:26" s="128" customFormat="1" ht="25" hidden="1">
      <c r="A1809" s="655">
        <v>62157</v>
      </c>
      <c r="B1809" s="656" t="s">
        <v>33</v>
      </c>
      <c r="C1809" s="655" t="s">
        <v>2793</v>
      </c>
      <c r="D1809" s="656" t="s">
        <v>2853</v>
      </c>
      <c r="E1809" s="656" t="s">
        <v>2854</v>
      </c>
      <c r="F1809" s="655">
        <v>62706</v>
      </c>
      <c r="G1809" s="656" t="s">
        <v>57</v>
      </c>
      <c r="H1809" s="656" t="s">
        <v>1182</v>
      </c>
      <c r="I1809" s="656" t="s">
        <v>58</v>
      </c>
      <c r="J1809" s="655">
        <v>22</v>
      </c>
      <c r="K1809" s="655">
        <v>2</v>
      </c>
      <c r="L1809" s="656" t="s">
        <v>52</v>
      </c>
      <c r="M1809" s="656" t="s">
        <v>448</v>
      </c>
      <c r="N1809" s="656" t="s">
        <v>449</v>
      </c>
      <c r="O1809" s="656" t="s">
        <v>449</v>
      </c>
      <c r="P1809" s="656" t="s">
        <v>1176</v>
      </c>
      <c r="Q1809" s="657">
        <v>0</v>
      </c>
      <c r="R1809" s="657">
        <v>0</v>
      </c>
      <c r="S1809" s="657">
        <v>27438</v>
      </c>
      <c r="T1809" s="657">
        <v>27438</v>
      </c>
      <c r="U1809" s="657">
        <v>3103</v>
      </c>
      <c r="V1809" s="655">
        <v>2021</v>
      </c>
      <c r="W1809" s="659"/>
      <c r="X1809" s="660">
        <f t="shared" si="86"/>
        <v>8.8424105704157263</v>
      </c>
      <c r="Y1809" s="661" t="str">
        <f t="shared" si="84"/>
        <v/>
      </c>
      <c r="Z1809" s="661" t="str">
        <f t="shared" si="85"/>
        <v/>
      </c>
    </row>
    <row r="1810" spans="1:26" s="128" customFormat="1" ht="25" hidden="1">
      <c r="A1810" s="655">
        <v>62158</v>
      </c>
      <c r="B1810" s="656" t="s">
        <v>33</v>
      </c>
      <c r="C1810" s="655" t="s">
        <v>2793</v>
      </c>
      <c r="D1810" s="656" t="s">
        <v>3143</v>
      </c>
      <c r="E1810" s="656" t="s">
        <v>2852</v>
      </c>
      <c r="F1810" s="655">
        <v>61194</v>
      </c>
      <c r="G1810" s="656" t="s">
        <v>57</v>
      </c>
      <c r="H1810" s="656" t="s">
        <v>1182</v>
      </c>
      <c r="I1810" s="656" t="s">
        <v>58</v>
      </c>
      <c r="J1810" s="655">
        <v>22</v>
      </c>
      <c r="K1810" s="655">
        <v>2</v>
      </c>
      <c r="L1810" s="656" t="s">
        <v>52</v>
      </c>
      <c r="M1810" s="656" t="s">
        <v>448</v>
      </c>
      <c r="N1810" s="656" t="s">
        <v>449</v>
      </c>
      <c r="O1810" s="656" t="s">
        <v>449</v>
      </c>
      <c r="P1810" s="656" t="s">
        <v>1176</v>
      </c>
      <c r="Q1810" s="657">
        <v>0</v>
      </c>
      <c r="R1810" s="657">
        <v>0</v>
      </c>
      <c r="S1810" s="657">
        <v>28182</v>
      </c>
      <c r="T1810" s="657">
        <v>28182</v>
      </c>
      <c r="U1810" s="657">
        <v>3187</v>
      </c>
      <c r="V1810" s="655">
        <v>2021</v>
      </c>
      <c r="W1810" s="659"/>
      <c r="X1810" s="660">
        <f t="shared" si="86"/>
        <v>8.8427988704110447</v>
      </c>
      <c r="Y1810" s="661" t="str">
        <f t="shared" si="84"/>
        <v/>
      </c>
      <c r="Z1810" s="661" t="str">
        <f t="shared" si="85"/>
        <v/>
      </c>
    </row>
    <row r="1811" spans="1:26" s="128" customFormat="1" ht="25" hidden="1">
      <c r="A1811" s="655">
        <v>62159</v>
      </c>
      <c r="B1811" s="656" t="s">
        <v>33</v>
      </c>
      <c r="C1811" s="655" t="s">
        <v>2793</v>
      </c>
      <c r="D1811" s="656" t="s">
        <v>2855</v>
      </c>
      <c r="E1811" s="656" t="s">
        <v>2418</v>
      </c>
      <c r="F1811" s="655">
        <v>61610</v>
      </c>
      <c r="G1811" s="656" t="s">
        <v>57</v>
      </c>
      <c r="H1811" s="656" t="s">
        <v>1182</v>
      </c>
      <c r="I1811" s="656" t="s">
        <v>58</v>
      </c>
      <c r="J1811" s="655">
        <v>22</v>
      </c>
      <c r="K1811" s="655">
        <v>2</v>
      </c>
      <c r="L1811" s="656" t="s">
        <v>52</v>
      </c>
      <c r="M1811" s="656" t="s">
        <v>448</v>
      </c>
      <c r="N1811" s="656" t="s">
        <v>449</v>
      </c>
      <c r="O1811" s="656" t="s">
        <v>449</v>
      </c>
      <c r="P1811" s="656" t="s">
        <v>1176</v>
      </c>
      <c r="Q1811" s="657">
        <v>0</v>
      </c>
      <c r="R1811" s="657">
        <v>0</v>
      </c>
      <c r="S1811" s="657">
        <v>24098</v>
      </c>
      <c r="T1811" s="657">
        <v>24098</v>
      </c>
      <c r="U1811" s="657">
        <v>2725</v>
      </c>
      <c r="V1811" s="655">
        <v>2021</v>
      </c>
      <c r="W1811" s="659"/>
      <c r="X1811" s="660">
        <f t="shared" si="86"/>
        <v>8.8433027522935781</v>
      </c>
      <c r="Y1811" s="661" t="str">
        <f t="shared" si="84"/>
        <v/>
      </c>
      <c r="Z1811" s="661" t="str">
        <f t="shared" si="85"/>
        <v/>
      </c>
    </row>
    <row r="1812" spans="1:26" s="128" customFormat="1" ht="25" hidden="1">
      <c r="A1812" s="655">
        <v>62160</v>
      </c>
      <c r="B1812" s="656" t="s">
        <v>33</v>
      </c>
      <c r="C1812" s="655" t="s">
        <v>2793</v>
      </c>
      <c r="D1812" s="656" t="s">
        <v>2856</v>
      </c>
      <c r="E1812" s="656" t="s">
        <v>2418</v>
      </c>
      <c r="F1812" s="655">
        <v>61610</v>
      </c>
      <c r="G1812" s="656" t="s">
        <v>57</v>
      </c>
      <c r="H1812" s="656" t="s">
        <v>1182</v>
      </c>
      <c r="I1812" s="656" t="s">
        <v>58</v>
      </c>
      <c r="J1812" s="655">
        <v>22</v>
      </c>
      <c r="K1812" s="655">
        <v>2</v>
      </c>
      <c r="L1812" s="656" t="s">
        <v>52</v>
      </c>
      <c r="M1812" s="656" t="s">
        <v>448</v>
      </c>
      <c r="N1812" s="656" t="s">
        <v>449</v>
      </c>
      <c r="O1812" s="656" t="s">
        <v>449</v>
      </c>
      <c r="P1812" s="656" t="s">
        <v>1176</v>
      </c>
      <c r="Q1812" s="657">
        <v>0</v>
      </c>
      <c r="R1812" s="657">
        <v>0</v>
      </c>
      <c r="S1812" s="657">
        <v>27424</v>
      </c>
      <c r="T1812" s="657">
        <v>27424</v>
      </c>
      <c r="U1812" s="657">
        <v>3101</v>
      </c>
      <c r="V1812" s="655">
        <v>2021</v>
      </c>
      <c r="W1812" s="659"/>
      <c r="X1812" s="660">
        <f t="shared" si="86"/>
        <v>8.8435988390841658</v>
      </c>
      <c r="Y1812" s="661" t="str">
        <f t="shared" si="84"/>
        <v/>
      </c>
      <c r="Z1812" s="661" t="str">
        <f t="shared" si="85"/>
        <v/>
      </c>
    </row>
    <row r="1813" spans="1:26" s="128" customFormat="1" ht="25" hidden="1">
      <c r="A1813" s="655">
        <v>62174</v>
      </c>
      <c r="B1813" s="656" t="s">
        <v>33</v>
      </c>
      <c r="C1813" s="655" t="s">
        <v>2793</v>
      </c>
      <c r="D1813" s="656" t="s">
        <v>2438</v>
      </c>
      <c r="E1813" s="656" t="s">
        <v>2438</v>
      </c>
      <c r="F1813" s="655">
        <v>61690</v>
      </c>
      <c r="G1813" s="656" t="s">
        <v>57</v>
      </c>
      <c r="H1813" s="656" t="s">
        <v>1182</v>
      </c>
      <c r="I1813" s="656" t="s">
        <v>58</v>
      </c>
      <c r="J1813" s="655">
        <v>622</v>
      </c>
      <c r="K1813" s="655">
        <v>4</v>
      </c>
      <c r="L1813" s="656" t="s">
        <v>412</v>
      </c>
      <c r="M1813" s="656" t="s">
        <v>51</v>
      </c>
      <c r="N1813" s="656" t="s">
        <v>46</v>
      </c>
      <c r="O1813" s="656" t="s">
        <v>46</v>
      </c>
      <c r="P1813" s="656" t="s">
        <v>47</v>
      </c>
      <c r="Q1813" s="657">
        <v>56</v>
      </c>
      <c r="R1813" s="657">
        <v>56</v>
      </c>
      <c r="S1813" s="657">
        <v>326</v>
      </c>
      <c r="T1813" s="657">
        <v>326</v>
      </c>
      <c r="U1813" s="657">
        <v>28</v>
      </c>
      <c r="V1813" s="655">
        <v>2021</v>
      </c>
      <c r="W1813" s="659"/>
      <c r="X1813" s="660" t="str">
        <f t="shared" si="86"/>
        <v/>
      </c>
      <c r="Y1813" s="661" t="str">
        <f t="shared" si="84"/>
        <v/>
      </c>
      <c r="Z1813" s="661" t="str">
        <f t="shared" si="85"/>
        <v/>
      </c>
    </row>
    <row r="1814" spans="1:26" s="128" customFormat="1">
      <c r="A1814" s="655">
        <v>62196</v>
      </c>
      <c r="B1814" s="656" t="s">
        <v>33</v>
      </c>
      <c r="C1814" s="655" t="s">
        <v>2793</v>
      </c>
      <c r="D1814" s="656" t="s">
        <v>2857</v>
      </c>
      <c r="E1814" s="656" t="s">
        <v>2439</v>
      </c>
      <c r="F1814" s="655">
        <v>61700</v>
      </c>
      <c r="G1814" s="656" t="s">
        <v>81</v>
      </c>
      <c r="H1814" s="656" t="s">
        <v>1183</v>
      </c>
      <c r="I1814" s="656" t="s">
        <v>58</v>
      </c>
      <c r="J1814" s="655">
        <v>22</v>
      </c>
      <c r="K1814" s="655">
        <v>2</v>
      </c>
      <c r="L1814" s="656" t="s">
        <v>52</v>
      </c>
      <c r="M1814" s="656" t="s">
        <v>448</v>
      </c>
      <c r="N1814" s="656" t="s">
        <v>449</v>
      </c>
      <c r="O1814" s="656" t="s">
        <v>449</v>
      </c>
      <c r="P1814" s="656" t="s">
        <v>1176</v>
      </c>
      <c r="Q1814" s="657">
        <v>0</v>
      </c>
      <c r="R1814" s="657">
        <v>0</v>
      </c>
      <c r="S1814" s="657">
        <v>25670</v>
      </c>
      <c r="T1814" s="657">
        <v>25670</v>
      </c>
      <c r="U1814" s="657">
        <v>2903</v>
      </c>
      <c r="V1814" s="655">
        <v>2021</v>
      </c>
      <c r="W1814" s="659"/>
      <c r="X1814" s="660">
        <f t="shared" si="86"/>
        <v>8.8425766448501548</v>
      </c>
      <c r="Y1814" s="661" t="str">
        <f t="shared" si="84"/>
        <v/>
      </c>
      <c r="Z1814" s="661" t="str">
        <f t="shared" si="85"/>
        <v/>
      </c>
    </row>
    <row r="1815" spans="1:26" s="128" customFormat="1" ht="25">
      <c r="A1815" s="655">
        <v>62197</v>
      </c>
      <c r="B1815" s="656" t="s">
        <v>33</v>
      </c>
      <c r="C1815" s="655" t="s">
        <v>2793</v>
      </c>
      <c r="D1815" s="656" t="s">
        <v>2440</v>
      </c>
      <c r="E1815" s="656" t="s">
        <v>2441</v>
      </c>
      <c r="F1815" s="655">
        <v>61696</v>
      </c>
      <c r="G1815" s="656" t="s">
        <v>81</v>
      </c>
      <c r="H1815" s="656" t="s">
        <v>1183</v>
      </c>
      <c r="I1815" s="656" t="s">
        <v>58</v>
      </c>
      <c r="J1815" s="655">
        <v>22</v>
      </c>
      <c r="K1815" s="655">
        <v>2</v>
      </c>
      <c r="L1815" s="656" t="s">
        <v>52</v>
      </c>
      <c r="M1815" s="656" t="s">
        <v>448</v>
      </c>
      <c r="N1815" s="656" t="s">
        <v>449</v>
      </c>
      <c r="O1815" s="656" t="s">
        <v>449</v>
      </c>
      <c r="P1815" s="656" t="s">
        <v>1176</v>
      </c>
      <c r="Q1815" s="657">
        <v>0</v>
      </c>
      <c r="R1815" s="657">
        <v>0</v>
      </c>
      <c r="S1815" s="657">
        <v>27962</v>
      </c>
      <c r="T1815" s="657">
        <v>27962</v>
      </c>
      <c r="U1815" s="657">
        <v>3162</v>
      </c>
      <c r="V1815" s="655">
        <v>2021</v>
      </c>
      <c r="W1815" s="659"/>
      <c r="X1815" s="660">
        <f t="shared" si="86"/>
        <v>8.8431372549019613</v>
      </c>
      <c r="Y1815" s="661" t="str">
        <f t="shared" si="84"/>
        <v/>
      </c>
      <c r="Z1815" s="661" t="str">
        <f t="shared" si="85"/>
        <v/>
      </c>
    </row>
    <row r="1816" spans="1:26" s="128" customFormat="1" ht="25">
      <c r="A1816" s="655">
        <v>62198</v>
      </c>
      <c r="B1816" s="656" t="s">
        <v>33</v>
      </c>
      <c r="C1816" s="655" t="s">
        <v>2793</v>
      </c>
      <c r="D1816" s="656" t="s">
        <v>2858</v>
      </c>
      <c r="E1816" s="656" t="s">
        <v>2442</v>
      </c>
      <c r="F1816" s="655">
        <v>61693</v>
      </c>
      <c r="G1816" s="656" t="s">
        <v>81</v>
      </c>
      <c r="H1816" s="656" t="s">
        <v>1183</v>
      </c>
      <c r="I1816" s="656" t="s">
        <v>58</v>
      </c>
      <c r="J1816" s="655">
        <v>22</v>
      </c>
      <c r="K1816" s="655">
        <v>2</v>
      </c>
      <c r="L1816" s="656" t="s">
        <v>52</v>
      </c>
      <c r="M1816" s="656" t="s">
        <v>448</v>
      </c>
      <c r="N1816" s="656" t="s">
        <v>449</v>
      </c>
      <c r="O1816" s="656" t="s">
        <v>449</v>
      </c>
      <c r="P1816" s="656" t="s">
        <v>1176</v>
      </c>
      <c r="Q1816" s="657">
        <v>0</v>
      </c>
      <c r="R1816" s="657">
        <v>0</v>
      </c>
      <c r="S1816" s="657">
        <v>28033</v>
      </c>
      <c r="T1816" s="657">
        <v>28033</v>
      </c>
      <c r="U1816" s="657">
        <v>3170</v>
      </c>
      <c r="V1816" s="655">
        <v>2021</v>
      </c>
      <c r="W1816" s="659"/>
      <c r="X1816" s="660">
        <f t="shared" si="86"/>
        <v>8.8432176656151427</v>
      </c>
      <c r="Y1816" s="661" t="str">
        <f t="shared" si="84"/>
        <v/>
      </c>
      <c r="Z1816" s="661" t="str">
        <f t="shared" si="85"/>
        <v/>
      </c>
    </row>
    <row r="1817" spans="1:26" s="128" customFormat="1">
      <c r="A1817" s="655">
        <v>62199</v>
      </c>
      <c r="B1817" s="656" t="s">
        <v>33</v>
      </c>
      <c r="C1817" s="655" t="s">
        <v>2793</v>
      </c>
      <c r="D1817" s="656" t="s">
        <v>2859</v>
      </c>
      <c r="E1817" s="656" t="s">
        <v>2443</v>
      </c>
      <c r="F1817" s="655">
        <v>61692</v>
      </c>
      <c r="G1817" s="656" t="s">
        <v>81</v>
      </c>
      <c r="H1817" s="656" t="s">
        <v>1183</v>
      </c>
      <c r="I1817" s="656" t="s">
        <v>58</v>
      </c>
      <c r="J1817" s="655">
        <v>22</v>
      </c>
      <c r="K1817" s="655">
        <v>2</v>
      </c>
      <c r="L1817" s="656" t="s">
        <v>52</v>
      </c>
      <c r="M1817" s="656" t="s">
        <v>448</v>
      </c>
      <c r="N1817" s="656" t="s">
        <v>449</v>
      </c>
      <c r="O1817" s="656" t="s">
        <v>449</v>
      </c>
      <c r="P1817" s="656" t="s">
        <v>1176</v>
      </c>
      <c r="Q1817" s="657">
        <v>0</v>
      </c>
      <c r="R1817" s="657">
        <v>0</v>
      </c>
      <c r="S1817" s="657">
        <v>12132</v>
      </c>
      <c r="T1817" s="657">
        <v>12132</v>
      </c>
      <c r="U1817" s="657">
        <v>1372</v>
      </c>
      <c r="V1817" s="655">
        <v>2021</v>
      </c>
      <c r="W1817" s="659"/>
      <c r="X1817" s="660">
        <f t="shared" si="86"/>
        <v>8.8425655976676385</v>
      </c>
      <c r="Y1817" s="661" t="str">
        <f t="shared" si="84"/>
        <v/>
      </c>
      <c r="Z1817" s="661" t="str">
        <f t="shared" si="85"/>
        <v/>
      </c>
    </row>
    <row r="1818" spans="1:26" s="128" customFormat="1">
      <c r="A1818" s="655">
        <v>62201</v>
      </c>
      <c r="B1818" s="656" t="s">
        <v>33</v>
      </c>
      <c r="C1818" s="655" t="s">
        <v>2793</v>
      </c>
      <c r="D1818" s="656" t="s">
        <v>2860</v>
      </c>
      <c r="E1818" s="656" t="s">
        <v>2444</v>
      </c>
      <c r="F1818" s="655">
        <v>61698</v>
      </c>
      <c r="G1818" s="656" t="s">
        <v>81</v>
      </c>
      <c r="H1818" s="656" t="s">
        <v>1183</v>
      </c>
      <c r="I1818" s="656" t="s">
        <v>58</v>
      </c>
      <c r="J1818" s="655">
        <v>22</v>
      </c>
      <c r="K1818" s="655">
        <v>2</v>
      </c>
      <c r="L1818" s="656" t="s">
        <v>52</v>
      </c>
      <c r="M1818" s="656" t="s">
        <v>448</v>
      </c>
      <c r="N1818" s="656" t="s">
        <v>449</v>
      </c>
      <c r="O1818" s="656" t="s">
        <v>449</v>
      </c>
      <c r="P1818" s="656" t="s">
        <v>1176</v>
      </c>
      <c r="Q1818" s="657">
        <v>0</v>
      </c>
      <c r="R1818" s="657">
        <v>0</v>
      </c>
      <c r="S1818" s="657">
        <v>24803</v>
      </c>
      <c r="T1818" s="657">
        <v>24803</v>
      </c>
      <c r="U1818" s="657">
        <v>2805</v>
      </c>
      <c r="V1818" s="655">
        <v>2021</v>
      </c>
      <c r="W1818" s="659"/>
      <c r="X1818" s="660">
        <f t="shared" si="86"/>
        <v>8.8424242424242419</v>
      </c>
      <c r="Y1818" s="661" t="str">
        <f t="shared" si="84"/>
        <v/>
      </c>
      <c r="Z1818" s="661" t="str">
        <f t="shared" si="85"/>
        <v/>
      </c>
    </row>
    <row r="1819" spans="1:26" s="128" customFormat="1">
      <c r="A1819" s="655">
        <v>62202</v>
      </c>
      <c r="B1819" s="656" t="s">
        <v>33</v>
      </c>
      <c r="C1819" s="655" t="s">
        <v>2793</v>
      </c>
      <c r="D1819" s="656" t="s">
        <v>2861</v>
      </c>
      <c r="E1819" s="656" t="s">
        <v>2210</v>
      </c>
      <c r="F1819" s="655">
        <v>61012</v>
      </c>
      <c r="G1819" s="656" t="s">
        <v>81</v>
      </c>
      <c r="H1819" s="656" t="s">
        <v>1183</v>
      </c>
      <c r="I1819" s="656" t="s">
        <v>58</v>
      </c>
      <c r="J1819" s="655">
        <v>22</v>
      </c>
      <c r="K1819" s="655">
        <v>2</v>
      </c>
      <c r="L1819" s="656" t="s">
        <v>52</v>
      </c>
      <c r="M1819" s="656" t="s">
        <v>448</v>
      </c>
      <c r="N1819" s="656" t="s">
        <v>449</v>
      </c>
      <c r="O1819" s="656" t="s">
        <v>449</v>
      </c>
      <c r="P1819" s="656" t="s">
        <v>1176</v>
      </c>
      <c r="Q1819" s="657">
        <v>0</v>
      </c>
      <c r="R1819" s="657">
        <v>0</v>
      </c>
      <c r="S1819" s="657">
        <v>54719</v>
      </c>
      <c r="T1819" s="657">
        <v>54719</v>
      </c>
      <c r="U1819" s="657">
        <v>6188</v>
      </c>
      <c r="V1819" s="655">
        <v>2021</v>
      </c>
      <c r="W1819" s="659"/>
      <c r="X1819" s="660">
        <f t="shared" si="86"/>
        <v>8.8427601809954748</v>
      </c>
      <c r="Y1819" s="661" t="str">
        <f t="shared" si="84"/>
        <v/>
      </c>
      <c r="Z1819" s="661" t="str">
        <f t="shared" si="85"/>
        <v/>
      </c>
    </row>
    <row r="1820" spans="1:26" s="128" customFormat="1">
      <c r="A1820" s="655">
        <v>62203</v>
      </c>
      <c r="B1820" s="656" t="s">
        <v>33</v>
      </c>
      <c r="C1820" s="655" t="s">
        <v>2793</v>
      </c>
      <c r="D1820" s="656" t="s">
        <v>2445</v>
      </c>
      <c r="E1820" s="656" t="s">
        <v>2445</v>
      </c>
      <c r="F1820" s="655">
        <v>61725</v>
      </c>
      <c r="G1820" s="656" t="s">
        <v>81</v>
      </c>
      <c r="H1820" s="656" t="s">
        <v>1183</v>
      </c>
      <c r="I1820" s="656" t="s">
        <v>58</v>
      </c>
      <c r="J1820" s="655">
        <v>22</v>
      </c>
      <c r="K1820" s="655">
        <v>2</v>
      </c>
      <c r="L1820" s="656" t="s">
        <v>52</v>
      </c>
      <c r="M1820" s="656" t="s">
        <v>448</v>
      </c>
      <c r="N1820" s="656" t="s">
        <v>449</v>
      </c>
      <c r="O1820" s="656" t="s">
        <v>449</v>
      </c>
      <c r="P1820" s="656" t="s">
        <v>1176</v>
      </c>
      <c r="Q1820" s="657">
        <v>0</v>
      </c>
      <c r="R1820" s="657">
        <v>0</v>
      </c>
      <c r="S1820" s="657">
        <v>28288</v>
      </c>
      <c r="T1820" s="657">
        <v>28288</v>
      </c>
      <c r="U1820" s="657">
        <v>3199</v>
      </c>
      <c r="V1820" s="655">
        <v>2021</v>
      </c>
      <c r="W1820" s="659"/>
      <c r="X1820" s="660">
        <f t="shared" si="86"/>
        <v>8.8427633635511089</v>
      </c>
      <c r="Y1820" s="661" t="str">
        <f t="shared" si="84"/>
        <v/>
      </c>
      <c r="Z1820" s="661" t="str">
        <f t="shared" si="85"/>
        <v/>
      </c>
    </row>
    <row r="1821" spans="1:26" s="128" customFormat="1" ht="25">
      <c r="A1821" s="655">
        <v>62219</v>
      </c>
      <c r="B1821" s="656" t="s">
        <v>33</v>
      </c>
      <c r="C1821" s="655" t="s">
        <v>2793</v>
      </c>
      <c r="D1821" s="656" t="s">
        <v>2862</v>
      </c>
      <c r="E1821" s="656" t="s">
        <v>372</v>
      </c>
      <c r="F1821" s="655">
        <v>11806</v>
      </c>
      <c r="G1821" s="656" t="s">
        <v>81</v>
      </c>
      <c r="H1821" s="656" t="s">
        <v>1183</v>
      </c>
      <c r="I1821" s="656" t="s">
        <v>58</v>
      </c>
      <c r="J1821" s="655">
        <v>22</v>
      </c>
      <c r="K1821" s="655">
        <v>1</v>
      </c>
      <c r="L1821" s="656" t="s">
        <v>34</v>
      </c>
      <c r="M1821" s="656" t="s">
        <v>1890</v>
      </c>
      <c r="N1821" s="656" t="s">
        <v>1052</v>
      </c>
      <c r="O1821" s="656" t="s">
        <v>82</v>
      </c>
      <c r="P1821" s="656" t="s">
        <v>2794</v>
      </c>
      <c r="Q1821" s="657">
        <v>303</v>
      </c>
      <c r="R1821" s="657">
        <v>303</v>
      </c>
      <c r="S1821" s="657">
        <v>0</v>
      </c>
      <c r="T1821" s="657">
        <v>0</v>
      </c>
      <c r="U1821" s="657">
        <v>-141</v>
      </c>
      <c r="V1821" s="655">
        <v>2021</v>
      </c>
      <c r="W1821" s="659"/>
      <c r="X1821" s="660" t="str">
        <f t="shared" si="86"/>
        <v/>
      </c>
      <c r="Y1821" s="661" t="str">
        <f t="shared" si="84"/>
        <v/>
      </c>
      <c r="Z1821" s="661" t="str">
        <f t="shared" si="85"/>
        <v/>
      </c>
    </row>
    <row r="1822" spans="1:26" s="128" customFormat="1" ht="25">
      <c r="A1822" s="655">
        <v>62226</v>
      </c>
      <c r="B1822" s="656" t="s">
        <v>33</v>
      </c>
      <c r="C1822" s="655" t="s">
        <v>2793</v>
      </c>
      <c r="D1822" s="656" t="s">
        <v>2863</v>
      </c>
      <c r="E1822" s="656" t="s">
        <v>2446</v>
      </c>
      <c r="F1822" s="655">
        <v>61744</v>
      </c>
      <c r="G1822" s="656" t="s">
        <v>81</v>
      </c>
      <c r="H1822" s="656" t="s">
        <v>1183</v>
      </c>
      <c r="I1822" s="656" t="s">
        <v>58</v>
      </c>
      <c r="J1822" s="655">
        <v>22</v>
      </c>
      <c r="K1822" s="655">
        <v>2</v>
      </c>
      <c r="L1822" s="656" t="s">
        <v>52</v>
      </c>
      <c r="M1822" s="656" t="s">
        <v>448</v>
      </c>
      <c r="N1822" s="656" t="s">
        <v>449</v>
      </c>
      <c r="O1822" s="656" t="s">
        <v>449</v>
      </c>
      <c r="P1822" s="656" t="s">
        <v>1176</v>
      </c>
      <c r="Q1822" s="657">
        <v>0</v>
      </c>
      <c r="R1822" s="657">
        <v>0</v>
      </c>
      <c r="S1822" s="657">
        <v>22044</v>
      </c>
      <c r="T1822" s="657">
        <v>22044</v>
      </c>
      <c r="U1822" s="657">
        <v>2493</v>
      </c>
      <c r="V1822" s="655">
        <v>2021</v>
      </c>
      <c r="W1822" s="659"/>
      <c r="X1822" s="660">
        <f t="shared" si="86"/>
        <v>8.8423586040914568</v>
      </c>
      <c r="Y1822" s="661" t="str">
        <f t="shared" si="84"/>
        <v/>
      </c>
      <c r="Z1822" s="661" t="str">
        <f t="shared" si="85"/>
        <v/>
      </c>
    </row>
    <row r="1823" spans="1:26" s="128" customFormat="1" ht="25" hidden="1">
      <c r="A1823" s="655">
        <v>62250</v>
      </c>
      <c r="B1823" s="656" t="s">
        <v>33</v>
      </c>
      <c r="C1823" s="655" t="s">
        <v>2793</v>
      </c>
      <c r="D1823" s="656" t="s">
        <v>2447</v>
      </c>
      <c r="E1823" s="656" t="s">
        <v>2447</v>
      </c>
      <c r="F1823" s="655">
        <v>61774</v>
      </c>
      <c r="G1823" s="656" t="s">
        <v>57</v>
      </c>
      <c r="H1823" s="656" t="s">
        <v>1182</v>
      </c>
      <c r="I1823" s="656" t="s">
        <v>58</v>
      </c>
      <c r="J1823" s="655">
        <v>622</v>
      </c>
      <c r="K1823" s="655">
        <v>4</v>
      </c>
      <c r="L1823" s="656" t="s">
        <v>412</v>
      </c>
      <c r="M1823" s="656" t="s">
        <v>51</v>
      </c>
      <c r="N1823" s="656" t="s">
        <v>46</v>
      </c>
      <c r="O1823" s="656" t="s">
        <v>46</v>
      </c>
      <c r="P1823" s="656" t="s">
        <v>47</v>
      </c>
      <c r="Q1823" s="657">
        <v>139</v>
      </c>
      <c r="R1823" s="657">
        <v>139</v>
      </c>
      <c r="S1823" s="657">
        <v>767</v>
      </c>
      <c r="T1823" s="657">
        <v>767</v>
      </c>
      <c r="U1823" s="657">
        <v>102</v>
      </c>
      <c r="V1823" s="655">
        <v>2021</v>
      </c>
      <c r="W1823" s="659"/>
      <c r="X1823" s="660" t="str">
        <f t="shared" si="86"/>
        <v/>
      </c>
      <c r="Y1823" s="661" t="str">
        <f t="shared" si="84"/>
        <v/>
      </c>
      <c r="Z1823" s="661" t="str">
        <f t="shared" si="85"/>
        <v/>
      </c>
    </row>
    <row r="1824" spans="1:26" s="128" customFormat="1" ht="25">
      <c r="A1824" s="655">
        <v>62257</v>
      </c>
      <c r="B1824" s="656" t="s">
        <v>33</v>
      </c>
      <c r="C1824" s="655" t="s">
        <v>2793</v>
      </c>
      <c r="D1824" s="656" t="s">
        <v>2448</v>
      </c>
      <c r="E1824" s="656" t="s">
        <v>1101</v>
      </c>
      <c r="F1824" s="655">
        <v>2144</v>
      </c>
      <c r="G1824" s="656" t="s">
        <v>81</v>
      </c>
      <c r="H1824" s="656" t="s">
        <v>1183</v>
      </c>
      <c r="I1824" s="656" t="s">
        <v>58</v>
      </c>
      <c r="J1824" s="655">
        <v>22</v>
      </c>
      <c r="K1824" s="655">
        <v>1</v>
      </c>
      <c r="L1824" s="656" t="s">
        <v>34</v>
      </c>
      <c r="M1824" s="656" t="s">
        <v>1890</v>
      </c>
      <c r="N1824" s="656" t="s">
        <v>1052</v>
      </c>
      <c r="O1824" s="656" t="s">
        <v>82</v>
      </c>
      <c r="P1824" s="656" t="s">
        <v>2794</v>
      </c>
      <c r="Q1824" s="657">
        <v>344</v>
      </c>
      <c r="R1824" s="657">
        <v>344</v>
      </c>
      <c r="S1824" s="657">
        <v>0</v>
      </c>
      <c r="T1824" s="657">
        <v>0</v>
      </c>
      <c r="U1824" s="657">
        <v>-103</v>
      </c>
      <c r="V1824" s="655">
        <v>2021</v>
      </c>
      <c r="W1824" s="659"/>
      <c r="X1824" s="660" t="str">
        <f t="shared" si="86"/>
        <v/>
      </c>
      <c r="Y1824" s="661" t="str">
        <f t="shared" si="84"/>
        <v/>
      </c>
      <c r="Z1824" s="661" t="str">
        <f t="shared" si="85"/>
        <v/>
      </c>
    </row>
    <row r="1825" spans="1:26" s="128" customFormat="1">
      <c r="A1825" s="655">
        <v>62264</v>
      </c>
      <c r="B1825" s="656" t="s">
        <v>33</v>
      </c>
      <c r="C1825" s="655" t="s">
        <v>2793</v>
      </c>
      <c r="D1825" s="656" t="s">
        <v>2449</v>
      </c>
      <c r="E1825" s="656" t="s">
        <v>2422</v>
      </c>
      <c r="F1825" s="655">
        <v>54913</v>
      </c>
      <c r="G1825" s="656" t="s">
        <v>81</v>
      </c>
      <c r="H1825" s="656" t="s">
        <v>1183</v>
      </c>
      <c r="I1825" s="656" t="s">
        <v>58</v>
      </c>
      <c r="J1825" s="655">
        <v>22</v>
      </c>
      <c r="K1825" s="655">
        <v>1</v>
      </c>
      <c r="L1825" s="656" t="s">
        <v>34</v>
      </c>
      <c r="M1825" s="656" t="s">
        <v>448</v>
      </c>
      <c r="N1825" s="656" t="s">
        <v>449</v>
      </c>
      <c r="O1825" s="656" t="s">
        <v>449</v>
      </c>
      <c r="P1825" s="656" t="s">
        <v>1176</v>
      </c>
      <c r="Q1825" s="657">
        <v>0</v>
      </c>
      <c r="R1825" s="657">
        <v>0</v>
      </c>
      <c r="S1825" s="657">
        <v>13619</v>
      </c>
      <c r="T1825" s="657">
        <v>13619</v>
      </c>
      <c r="U1825" s="657">
        <v>1540</v>
      </c>
      <c r="V1825" s="655">
        <v>2021</v>
      </c>
      <c r="W1825" s="659"/>
      <c r="X1825" s="660">
        <f t="shared" si="86"/>
        <v>8.843506493506494</v>
      </c>
      <c r="Y1825" s="661" t="str">
        <f t="shared" si="84"/>
        <v/>
      </c>
      <c r="Z1825" s="661" t="str">
        <f t="shared" si="85"/>
        <v/>
      </c>
    </row>
    <row r="1826" spans="1:26" s="128" customFormat="1">
      <c r="A1826" s="655">
        <v>62265</v>
      </c>
      <c r="B1826" s="656" t="s">
        <v>33</v>
      </c>
      <c r="C1826" s="655" t="s">
        <v>2793</v>
      </c>
      <c r="D1826" s="656" t="s">
        <v>2450</v>
      </c>
      <c r="E1826" s="656" t="s">
        <v>2422</v>
      </c>
      <c r="F1826" s="655">
        <v>54913</v>
      </c>
      <c r="G1826" s="656" t="s">
        <v>81</v>
      </c>
      <c r="H1826" s="656" t="s">
        <v>1183</v>
      </c>
      <c r="I1826" s="656" t="s">
        <v>58</v>
      </c>
      <c r="J1826" s="655">
        <v>22</v>
      </c>
      <c r="K1826" s="655">
        <v>1</v>
      </c>
      <c r="L1826" s="656" t="s">
        <v>34</v>
      </c>
      <c r="M1826" s="656" t="s">
        <v>448</v>
      </c>
      <c r="N1826" s="656" t="s">
        <v>449</v>
      </c>
      <c r="O1826" s="656" t="s">
        <v>449</v>
      </c>
      <c r="P1826" s="656" t="s">
        <v>1176</v>
      </c>
      <c r="Q1826" s="657">
        <v>0</v>
      </c>
      <c r="R1826" s="657">
        <v>0</v>
      </c>
      <c r="S1826" s="657">
        <v>21807</v>
      </c>
      <c r="T1826" s="657">
        <v>21807</v>
      </c>
      <c r="U1826" s="657">
        <v>2466</v>
      </c>
      <c r="V1826" s="655">
        <v>2021</v>
      </c>
      <c r="W1826" s="659"/>
      <c r="X1826" s="660">
        <f t="shared" si="86"/>
        <v>8.8430656934306562</v>
      </c>
      <c r="Y1826" s="661" t="str">
        <f t="shared" si="84"/>
        <v/>
      </c>
      <c r="Z1826" s="661" t="str">
        <f t="shared" si="85"/>
        <v/>
      </c>
    </row>
    <row r="1827" spans="1:26" s="128" customFormat="1">
      <c r="A1827" s="655">
        <v>62266</v>
      </c>
      <c r="B1827" s="656" t="s">
        <v>33</v>
      </c>
      <c r="C1827" s="655" t="s">
        <v>2793</v>
      </c>
      <c r="D1827" s="656" t="s">
        <v>2451</v>
      </c>
      <c r="E1827" s="656" t="s">
        <v>2422</v>
      </c>
      <c r="F1827" s="655">
        <v>54913</v>
      </c>
      <c r="G1827" s="656" t="s">
        <v>81</v>
      </c>
      <c r="H1827" s="656" t="s">
        <v>1183</v>
      </c>
      <c r="I1827" s="656" t="s">
        <v>58</v>
      </c>
      <c r="J1827" s="655">
        <v>22</v>
      </c>
      <c r="K1827" s="655">
        <v>1</v>
      </c>
      <c r="L1827" s="656" t="s">
        <v>34</v>
      </c>
      <c r="M1827" s="656" t="s">
        <v>448</v>
      </c>
      <c r="N1827" s="656" t="s">
        <v>449</v>
      </c>
      <c r="O1827" s="656" t="s">
        <v>449</v>
      </c>
      <c r="P1827" s="656" t="s">
        <v>1176</v>
      </c>
      <c r="Q1827" s="657">
        <v>0</v>
      </c>
      <c r="R1827" s="657">
        <v>0</v>
      </c>
      <c r="S1827" s="657">
        <v>13980</v>
      </c>
      <c r="T1827" s="657">
        <v>13980</v>
      </c>
      <c r="U1827" s="657">
        <v>1581</v>
      </c>
      <c r="V1827" s="655">
        <v>2021</v>
      </c>
      <c r="W1827" s="659"/>
      <c r="X1827" s="660">
        <f t="shared" si="86"/>
        <v>8.8425047438330164</v>
      </c>
      <c r="Y1827" s="661" t="str">
        <f t="shared" si="84"/>
        <v/>
      </c>
      <c r="Z1827" s="661" t="str">
        <f t="shared" si="85"/>
        <v/>
      </c>
    </row>
    <row r="1828" spans="1:26" s="128" customFormat="1" ht="25" hidden="1">
      <c r="A1828" s="655">
        <v>62270</v>
      </c>
      <c r="B1828" s="656" t="s">
        <v>33</v>
      </c>
      <c r="C1828" s="655" t="s">
        <v>2793</v>
      </c>
      <c r="D1828" s="656" t="s">
        <v>2452</v>
      </c>
      <c r="E1828" s="656" t="s">
        <v>2452</v>
      </c>
      <c r="F1828" s="655">
        <v>61802</v>
      </c>
      <c r="G1828" s="656" t="s">
        <v>57</v>
      </c>
      <c r="H1828" s="656" t="s">
        <v>1182</v>
      </c>
      <c r="I1828" s="656" t="s">
        <v>58</v>
      </c>
      <c r="J1828" s="655">
        <v>622</v>
      </c>
      <c r="K1828" s="655">
        <v>4</v>
      </c>
      <c r="L1828" s="656" t="s">
        <v>412</v>
      </c>
      <c r="M1828" s="656" t="s">
        <v>51</v>
      </c>
      <c r="N1828" s="656" t="s">
        <v>46</v>
      </c>
      <c r="O1828" s="656" t="s">
        <v>46</v>
      </c>
      <c r="P1828" s="656" t="s">
        <v>47</v>
      </c>
      <c r="Q1828" s="657">
        <v>65</v>
      </c>
      <c r="R1828" s="657">
        <v>65</v>
      </c>
      <c r="S1828" s="657">
        <v>377</v>
      </c>
      <c r="T1828" s="657">
        <v>377</v>
      </c>
      <c r="U1828" s="657">
        <v>44</v>
      </c>
      <c r="V1828" s="655">
        <v>2021</v>
      </c>
      <c r="W1828" s="659"/>
      <c r="X1828" s="660" t="str">
        <f t="shared" si="86"/>
        <v/>
      </c>
      <c r="Y1828" s="661" t="str">
        <f t="shared" si="84"/>
        <v/>
      </c>
      <c r="Z1828" s="661" t="str">
        <f t="shared" si="85"/>
        <v/>
      </c>
    </row>
    <row r="1829" spans="1:26" s="128" customFormat="1" ht="25" hidden="1">
      <c r="A1829" s="655">
        <v>62271</v>
      </c>
      <c r="B1829" s="656" t="s">
        <v>33</v>
      </c>
      <c r="C1829" s="655" t="s">
        <v>2793</v>
      </c>
      <c r="D1829" s="656" t="s">
        <v>2453</v>
      </c>
      <c r="E1829" s="656" t="s">
        <v>2453</v>
      </c>
      <c r="F1829" s="655">
        <v>61800</v>
      </c>
      <c r="G1829" s="656" t="s">
        <v>57</v>
      </c>
      <c r="H1829" s="656" t="s">
        <v>1182</v>
      </c>
      <c r="I1829" s="656" t="s">
        <v>58</v>
      </c>
      <c r="J1829" s="655">
        <v>622</v>
      </c>
      <c r="K1829" s="655">
        <v>4</v>
      </c>
      <c r="L1829" s="656" t="s">
        <v>412</v>
      </c>
      <c r="M1829" s="656" t="s">
        <v>51</v>
      </c>
      <c r="N1829" s="656" t="s">
        <v>46</v>
      </c>
      <c r="O1829" s="656" t="s">
        <v>46</v>
      </c>
      <c r="P1829" s="656" t="s">
        <v>47</v>
      </c>
      <c r="Q1829" s="657">
        <v>40</v>
      </c>
      <c r="R1829" s="657">
        <v>40</v>
      </c>
      <c r="S1829" s="657">
        <v>233</v>
      </c>
      <c r="T1829" s="657">
        <v>233</v>
      </c>
      <c r="U1829" s="657">
        <v>51</v>
      </c>
      <c r="V1829" s="655">
        <v>2021</v>
      </c>
      <c r="W1829" s="659"/>
      <c r="X1829" s="660" t="str">
        <f t="shared" si="86"/>
        <v/>
      </c>
      <c r="Y1829" s="661" t="str">
        <f t="shared" si="84"/>
        <v/>
      </c>
      <c r="Z1829" s="661" t="str">
        <f t="shared" si="85"/>
        <v/>
      </c>
    </row>
    <row r="1830" spans="1:26" s="128" customFormat="1" hidden="1">
      <c r="A1830" s="655">
        <v>62301</v>
      </c>
      <c r="B1830" s="656" t="s">
        <v>33</v>
      </c>
      <c r="C1830" s="655" t="s">
        <v>2793</v>
      </c>
      <c r="D1830" s="656" t="s">
        <v>2454</v>
      </c>
      <c r="E1830" s="656" t="s">
        <v>2210</v>
      </c>
      <c r="F1830" s="655">
        <v>61012</v>
      </c>
      <c r="G1830" s="656" t="s">
        <v>131</v>
      </c>
      <c r="H1830" s="656" t="s">
        <v>1183</v>
      </c>
      <c r="I1830" s="656" t="s">
        <v>58</v>
      </c>
      <c r="J1830" s="655">
        <v>22</v>
      </c>
      <c r="K1830" s="655">
        <v>2</v>
      </c>
      <c r="L1830" s="656" t="s">
        <v>52</v>
      </c>
      <c r="M1830" s="656" t="s">
        <v>448</v>
      </c>
      <c r="N1830" s="656" t="s">
        <v>449</v>
      </c>
      <c r="O1830" s="656" t="s">
        <v>449</v>
      </c>
      <c r="P1830" s="656" t="s">
        <v>1176</v>
      </c>
      <c r="Q1830" s="657">
        <v>0</v>
      </c>
      <c r="R1830" s="657">
        <v>0</v>
      </c>
      <c r="S1830" s="657">
        <v>52775</v>
      </c>
      <c r="T1830" s="657">
        <v>52775</v>
      </c>
      <c r="U1830" s="657">
        <v>5968</v>
      </c>
      <c r="V1830" s="655">
        <v>2021</v>
      </c>
      <c r="W1830" s="659"/>
      <c r="X1830" s="660">
        <f t="shared" si="86"/>
        <v>8.8429959785522794</v>
      </c>
      <c r="Y1830" s="661" t="str">
        <f t="shared" si="84"/>
        <v/>
      </c>
      <c r="Z1830" s="661" t="str">
        <f t="shared" si="85"/>
        <v/>
      </c>
    </row>
    <row r="1831" spans="1:26" s="128" customFormat="1" ht="25" hidden="1">
      <c r="A1831" s="655">
        <v>62302</v>
      </c>
      <c r="B1831" s="656" t="s">
        <v>33</v>
      </c>
      <c r="C1831" s="655" t="s">
        <v>2793</v>
      </c>
      <c r="D1831" s="656" t="s">
        <v>2455</v>
      </c>
      <c r="E1831" s="656" t="s">
        <v>2210</v>
      </c>
      <c r="F1831" s="655">
        <v>61012</v>
      </c>
      <c r="G1831" s="656" t="s">
        <v>131</v>
      </c>
      <c r="H1831" s="656" t="s">
        <v>1183</v>
      </c>
      <c r="I1831" s="656" t="s">
        <v>58</v>
      </c>
      <c r="J1831" s="655">
        <v>22</v>
      </c>
      <c r="K1831" s="655">
        <v>2</v>
      </c>
      <c r="L1831" s="656" t="s">
        <v>52</v>
      </c>
      <c r="M1831" s="656" t="s">
        <v>448</v>
      </c>
      <c r="N1831" s="656" t="s">
        <v>449</v>
      </c>
      <c r="O1831" s="656" t="s">
        <v>449</v>
      </c>
      <c r="P1831" s="656" t="s">
        <v>1176</v>
      </c>
      <c r="Q1831" s="657">
        <v>0</v>
      </c>
      <c r="R1831" s="657">
        <v>0</v>
      </c>
      <c r="S1831" s="657">
        <v>61070</v>
      </c>
      <c r="T1831" s="657">
        <v>61070</v>
      </c>
      <c r="U1831" s="657">
        <v>6906</v>
      </c>
      <c r="V1831" s="655">
        <v>2021</v>
      </c>
      <c r="W1831" s="659"/>
      <c r="X1831" s="660">
        <f t="shared" si="86"/>
        <v>8.8430350419924704</v>
      </c>
      <c r="Y1831" s="661" t="str">
        <f t="shared" si="84"/>
        <v/>
      </c>
      <c r="Z1831" s="661" t="str">
        <f t="shared" si="85"/>
        <v/>
      </c>
    </row>
    <row r="1832" spans="1:26" s="128" customFormat="1" hidden="1">
      <c r="A1832" s="655">
        <v>62303</v>
      </c>
      <c r="B1832" s="656" t="s">
        <v>33</v>
      </c>
      <c r="C1832" s="655" t="s">
        <v>2793</v>
      </c>
      <c r="D1832" s="656" t="s">
        <v>2456</v>
      </c>
      <c r="E1832" s="656" t="s">
        <v>2210</v>
      </c>
      <c r="F1832" s="655">
        <v>61012</v>
      </c>
      <c r="G1832" s="656" t="s">
        <v>57</v>
      </c>
      <c r="H1832" s="656" t="s">
        <v>1182</v>
      </c>
      <c r="I1832" s="656" t="s">
        <v>58</v>
      </c>
      <c r="J1832" s="655">
        <v>22</v>
      </c>
      <c r="K1832" s="655">
        <v>2</v>
      </c>
      <c r="L1832" s="656" t="s">
        <v>52</v>
      </c>
      <c r="M1832" s="656" t="s">
        <v>448</v>
      </c>
      <c r="N1832" s="656" t="s">
        <v>449</v>
      </c>
      <c r="O1832" s="656" t="s">
        <v>449</v>
      </c>
      <c r="P1832" s="656" t="s">
        <v>1176</v>
      </c>
      <c r="Q1832" s="657">
        <v>0</v>
      </c>
      <c r="R1832" s="657">
        <v>0</v>
      </c>
      <c r="S1832" s="657">
        <v>28280</v>
      </c>
      <c r="T1832" s="657">
        <v>28280</v>
      </c>
      <c r="U1832" s="657">
        <v>3198</v>
      </c>
      <c r="V1832" s="655">
        <v>2021</v>
      </c>
      <c r="W1832" s="659"/>
      <c r="X1832" s="660">
        <f t="shared" si="86"/>
        <v>8.84302689180738</v>
      </c>
      <c r="Y1832" s="661" t="str">
        <f t="shared" si="84"/>
        <v/>
      </c>
      <c r="Z1832" s="661" t="str">
        <f t="shared" si="85"/>
        <v/>
      </c>
    </row>
    <row r="1833" spans="1:26" s="128" customFormat="1" ht="25" hidden="1">
      <c r="A1833" s="655">
        <v>62322</v>
      </c>
      <c r="B1833" s="656" t="s">
        <v>33</v>
      </c>
      <c r="C1833" s="655" t="s">
        <v>2793</v>
      </c>
      <c r="D1833" s="656" t="s">
        <v>2457</v>
      </c>
      <c r="E1833" s="656" t="s">
        <v>2457</v>
      </c>
      <c r="F1833" s="655">
        <v>61822</v>
      </c>
      <c r="G1833" s="656" t="s">
        <v>57</v>
      </c>
      <c r="H1833" s="656" t="s">
        <v>1182</v>
      </c>
      <c r="I1833" s="656" t="s">
        <v>58</v>
      </c>
      <c r="J1833" s="655">
        <v>22</v>
      </c>
      <c r="K1833" s="655">
        <v>2</v>
      </c>
      <c r="L1833" s="656" t="s">
        <v>52</v>
      </c>
      <c r="M1833" s="656" t="s">
        <v>35</v>
      </c>
      <c r="N1833" s="656" t="s">
        <v>36</v>
      </c>
      <c r="O1833" s="656" t="s">
        <v>37</v>
      </c>
      <c r="P1833" s="656" t="s">
        <v>1176</v>
      </c>
      <c r="Q1833" s="657">
        <v>0</v>
      </c>
      <c r="R1833" s="657">
        <v>0</v>
      </c>
      <c r="S1833" s="657">
        <v>207741</v>
      </c>
      <c r="T1833" s="657">
        <v>207741</v>
      </c>
      <c r="U1833" s="657">
        <v>23492</v>
      </c>
      <c r="V1833" s="655">
        <v>2021</v>
      </c>
      <c r="W1833" s="659"/>
      <c r="X1833" s="660">
        <f t="shared" si="86"/>
        <v>8.843052954197173</v>
      </c>
      <c r="Y1833" s="661" t="str">
        <f t="shared" si="84"/>
        <v/>
      </c>
      <c r="Z1833" s="661" t="str">
        <f t="shared" si="85"/>
        <v/>
      </c>
    </row>
    <row r="1834" spans="1:26" s="128" customFormat="1">
      <c r="A1834" s="655">
        <v>62324</v>
      </c>
      <c r="B1834" s="656" t="s">
        <v>33</v>
      </c>
      <c r="C1834" s="655" t="s">
        <v>2793</v>
      </c>
      <c r="D1834" s="656" t="s">
        <v>2458</v>
      </c>
      <c r="E1834" s="656" t="s">
        <v>2210</v>
      </c>
      <c r="F1834" s="655">
        <v>61012</v>
      </c>
      <c r="G1834" s="656" t="s">
        <v>81</v>
      </c>
      <c r="H1834" s="656" t="s">
        <v>1183</v>
      </c>
      <c r="I1834" s="656" t="s">
        <v>58</v>
      </c>
      <c r="J1834" s="655">
        <v>22</v>
      </c>
      <c r="K1834" s="655">
        <v>2</v>
      </c>
      <c r="L1834" s="656" t="s">
        <v>52</v>
      </c>
      <c r="M1834" s="656" t="s">
        <v>448</v>
      </c>
      <c r="N1834" s="656" t="s">
        <v>449</v>
      </c>
      <c r="O1834" s="656" t="s">
        <v>449</v>
      </c>
      <c r="P1834" s="656" t="s">
        <v>1176</v>
      </c>
      <c r="Q1834" s="657">
        <v>0</v>
      </c>
      <c r="R1834" s="657">
        <v>0</v>
      </c>
      <c r="S1834" s="657">
        <v>26202</v>
      </c>
      <c r="T1834" s="657">
        <v>26202</v>
      </c>
      <c r="U1834" s="657">
        <v>2963</v>
      </c>
      <c r="V1834" s="655">
        <v>2021</v>
      </c>
      <c r="W1834" s="659"/>
      <c r="X1834" s="660">
        <f t="shared" si="86"/>
        <v>8.8430644616942295</v>
      </c>
      <c r="Y1834" s="661" t="str">
        <f t="shared" si="84"/>
        <v/>
      </c>
      <c r="Z1834" s="661" t="str">
        <f t="shared" si="85"/>
        <v/>
      </c>
    </row>
    <row r="1835" spans="1:26" s="128" customFormat="1" ht="25" hidden="1">
      <c r="A1835" s="655">
        <v>62357</v>
      </c>
      <c r="B1835" s="656" t="s">
        <v>33</v>
      </c>
      <c r="C1835" s="655" t="s">
        <v>2793</v>
      </c>
      <c r="D1835" s="656" t="s">
        <v>3389</v>
      </c>
      <c r="E1835" s="656" t="s">
        <v>3390</v>
      </c>
      <c r="F1835" s="655">
        <v>61888</v>
      </c>
      <c r="G1835" s="656" t="s">
        <v>57</v>
      </c>
      <c r="H1835" s="656" t="s">
        <v>1182</v>
      </c>
      <c r="I1835" s="656" t="s">
        <v>58</v>
      </c>
      <c r="J1835" s="655">
        <v>22</v>
      </c>
      <c r="K1835" s="655">
        <v>2</v>
      </c>
      <c r="L1835" s="656" t="s">
        <v>52</v>
      </c>
      <c r="M1835" s="656" t="s">
        <v>448</v>
      </c>
      <c r="N1835" s="656" t="s">
        <v>449</v>
      </c>
      <c r="O1835" s="656" t="s">
        <v>449</v>
      </c>
      <c r="P1835" s="656" t="s">
        <v>1176</v>
      </c>
      <c r="Q1835" s="657">
        <v>0</v>
      </c>
      <c r="R1835" s="657">
        <v>0</v>
      </c>
      <c r="S1835" s="657">
        <v>38777</v>
      </c>
      <c r="T1835" s="657">
        <v>38777</v>
      </c>
      <c r="U1835" s="657">
        <v>4385</v>
      </c>
      <c r="V1835" s="655">
        <v>2021</v>
      </c>
      <c r="W1835" s="659"/>
      <c r="X1835" s="660">
        <f t="shared" si="86"/>
        <v>8.8431014823261123</v>
      </c>
      <c r="Y1835" s="661" t="str">
        <f t="shared" si="84"/>
        <v/>
      </c>
      <c r="Z1835" s="661" t="str">
        <f t="shared" si="85"/>
        <v/>
      </c>
    </row>
    <row r="1836" spans="1:26" s="128" customFormat="1">
      <c r="A1836" s="655">
        <v>62363</v>
      </c>
      <c r="B1836" s="656" t="s">
        <v>33</v>
      </c>
      <c r="C1836" s="655" t="s">
        <v>2793</v>
      </c>
      <c r="D1836" s="656" t="s">
        <v>2459</v>
      </c>
      <c r="E1836" s="656" t="s">
        <v>2210</v>
      </c>
      <c r="F1836" s="655">
        <v>61012</v>
      </c>
      <c r="G1836" s="656" t="s">
        <v>81</v>
      </c>
      <c r="H1836" s="656" t="s">
        <v>1183</v>
      </c>
      <c r="I1836" s="656" t="s">
        <v>58</v>
      </c>
      <c r="J1836" s="655">
        <v>22</v>
      </c>
      <c r="K1836" s="655">
        <v>2</v>
      </c>
      <c r="L1836" s="656" t="s">
        <v>52</v>
      </c>
      <c r="M1836" s="656" t="s">
        <v>448</v>
      </c>
      <c r="N1836" s="656" t="s">
        <v>449</v>
      </c>
      <c r="O1836" s="656" t="s">
        <v>449</v>
      </c>
      <c r="P1836" s="656" t="s">
        <v>1176</v>
      </c>
      <c r="Q1836" s="657">
        <v>0</v>
      </c>
      <c r="R1836" s="657">
        <v>0</v>
      </c>
      <c r="S1836" s="657">
        <v>13160</v>
      </c>
      <c r="T1836" s="657">
        <v>13160</v>
      </c>
      <c r="U1836" s="657">
        <v>1488</v>
      </c>
      <c r="V1836" s="655">
        <v>2021</v>
      </c>
      <c r="W1836" s="659"/>
      <c r="X1836" s="660">
        <f t="shared" si="86"/>
        <v>8.844086021505376</v>
      </c>
      <c r="Y1836" s="661" t="str">
        <f t="shared" si="84"/>
        <v/>
      </c>
      <c r="Z1836" s="661" t="str">
        <f t="shared" si="85"/>
        <v/>
      </c>
    </row>
    <row r="1837" spans="1:26" s="128" customFormat="1" ht="25" hidden="1">
      <c r="A1837" s="655">
        <v>62366</v>
      </c>
      <c r="B1837" s="656" t="s">
        <v>33</v>
      </c>
      <c r="C1837" s="655" t="s">
        <v>2793</v>
      </c>
      <c r="D1837" s="656" t="s">
        <v>2460</v>
      </c>
      <c r="E1837" s="656" t="s">
        <v>2460</v>
      </c>
      <c r="F1837" s="655">
        <v>61892</v>
      </c>
      <c r="G1837" s="656" t="s">
        <v>57</v>
      </c>
      <c r="H1837" s="656" t="s">
        <v>1182</v>
      </c>
      <c r="I1837" s="656" t="s">
        <v>58</v>
      </c>
      <c r="J1837" s="655">
        <v>622</v>
      </c>
      <c r="K1837" s="655">
        <v>4</v>
      </c>
      <c r="L1837" s="656" t="s">
        <v>412</v>
      </c>
      <c r="M1837" s="656" t="s">
        <v>51</v>
      </c>
      <c r="N1837" s="656" t="s">
        <v>46</v>
      </c>
      <c r="O1837" s="656" t="s">
        <v>46</v>
      </c>
      <c r="P1837" s="656" t="s">
        <v>47</v>
      </c>
      <c r="Q1837" s="657">
        <v>43</v>
      </c>
      <c r="R1837" s="657">
        <v>43</v>
      </c>
      <c r="S1837" s="657">
        <v>240</v>
      </c>
      <c r="T1837" s="657">
        <v>240</v>
      </c>
      <c r="U1837" s="657">
        <v>13</v>
      </c>
      <c r="V1837" s="655">
        <v>2021</v>
      </c>
      <c r="W1837" s="659"/>
      <c r="X1837" s="660" t="str">
        <f t="shared" si="86"/>
        <v/>
      </c>
      <c r="Y1837" s="661" t="str">
        <f t="shared" si="84"/>
        <v/>
      </c>
      <c r="Z1837" s="661" t="str">
        <f t="shared" si="85"/>
        <v/>
      </c>
    </row>
    <row r="1838" spans="1:26" s="128" customFormat="1">
      <c r="A1838" s="655">
        <v>62368</v>
      </c>
      <c r="B1838" s="656" t="s">
        <v>33</v>
      </c>
      <c r="C1838" s="655" t="s">
        <v>2793</v>
      </c>
      <c r="D1838" s="656" t="s">
        <v>2461</v>
      </c>
      <c r="E1838" s="656" t="s">
        <v>2462</v>
      </c>
      <c r="F1838" s="655">
        <v>61894</v>
      </c>
      <c r="G1838" s="656" t="s">
        <v>81</v>
      </c>
      <c r="H1838" s="656" t="s">
        <v>1183</v>
      </c>
      <c r="I1838" s="656" t="s">
        <v>58</v>
      </c>
      <c r="J1838" s="655">
        <v>22</v>
      </c>
      <c r="K1838" s="655">
        <v>2</v>
      </c>
      <c r="L1838" s="656" t="s">
        <v>52</v>
      </c>
      <c r="M1838" s="656" t="s">
        <v>448</v>
      </c>
      <c r="N1838" s="656" t="s">
        <v>449</v>
      </c>
      <c r="O1838" s="656" t="s">
        <v>449</v>
      </c>
      <c r="P1838" s="656" t="s">
        <v>1176</v>
      </c>
      <c r="Q1838" s="657">
        <v>0</v>
      </c>
      <c r="R1838" s="657">
        <v>0</v>
      </c>
      <c r="S1838" s="657">
        <v>61123</v>
      </c>
      <c r="T1838" s="657">
        <v>61123</v>
      </c>
      <c r="U1838" s="657">
        <v>6912</v>
      </c>
      <c r="V1838" s="655">
        <v>2021</v>
      </c>
      <c r="W1838" s="659"/>
      <c r="X1838" s="660">
        <f t="shared" si="86"/>
        <v>8.8430266203703702</v>
      </c>
      <c r="Y1838" s="661" t="str">
        <f t="shared" si="84"/>
        <v/>
      </c>
      <c r="Z1838" s="661" t="str">
        <f t="shared" si="85"/>
        <v/>
      </c>
    </row>
    <row r="1839" spans="1:26" s="128" customFormat="1">
      <c r="A1839" s="655">
        <v>62369</v>
      </c>
      <c r="B1839" s="656" t="s">
        <v>33</v>
      </c>
      <c r="C1839" s="655" t="s">
        <v>2793</v>
      </c>
      <c r="D1839" s="656" t="s">
        <v>2463</v>
      </c>
      <c r="E1839" s="656" t="s">
        <v>2464</v>
      </c>
      <c r="F1839" s="655">
        <v>61895</v>
      </c>
      <c r="G1839" s="656" t="s">
        <v>81</v>
      </c>
      <c r="H1839" s="656" t="s">
        <v>1183</v>
      </c>
      <c r="I1839" s="656" t="s">
        <v>58</v>
      </c>
      <c r="J1839" s="655">
        <v>22</v>
      </c>
      <c r="K1839" s="655">
        <v>2</v>
      </c>
      <c r="L1839" s="656" t="s">
        <v>52</v>
      </c>
      <c r="M1839" s="656" t="s">
        <v>448</v>
      </c>
      <c r="N1839" s="656" t="s">
        <v>449</v>
      </c>
      <c r="O1839" s="656" t="s">
        <v>449</v>
      </c>
      <c r="P1839" s="656" t="s">
        <v>1176</v>
      </c>
      <c r="Q1839" s="657">
        <v>0</v>
      </c>
      <c r="R1839" s="657">
        <v>0</v>
      </c>
      <c r="S1839" s="657">
        <v>56321</v>
      </c>
      <c r="T1839" s="657">
        <v>56321</v>
      </c>
      <c r="U1839" s="657">
        <v>6369</v>
      </c>
      <c r="V1839" s="655">
        <v>2021</v>
      </c>
      <c r="W1839" s="659"/>
      <c r="X1839" s="660">
        <f t="shared" si="86"/>
        <v>8.842989480295179</v>
      </c>
      <c r="Y1839" s="661" t="str">
        <f t="shared" si="84"/>
        <v/>
      </c>
      <c r="Z1839" s="661" t="str">
        <f t="shared" si="85"/>
        <v/>
      </c>
    </row>
    <row r="1840" spans="1:26" s="128" customFormat="1">
      <c r="A1840" s="655">
        <v>62370</v>
      </c>
      <c r="B1840" s="656" t="s">
        <v>33</v>
      </c>
      <c r="C1840" s="655" t="s">
        <v>2793</v>
      </c>
      <c r="D1840" s="656" t="s">
        <v>2465</v>
      </c>
      <c r="E1840" s="656" t="s">
        <v>2466</v>
      </c>
      <c r="F1840" s="655">
        <v>61896</v>
      </c>
      <c r="G1840" s="656" t="s">
        <v>81</v>
      </c>
      <c r="H1840" s="656" t="s">
        <v>1183</v>
      </c>
      <c r="I1840" s="656" t="s">
        <v>58</v>
      </c>
      <c r="J1840" s="655">
        <v>22</v>
      </c>
      <c r="K1840" s="655">
        <v>2</v>
      </c>
      <c r="L1840" s="656" t="s">
        <v>52</v>
      </c>
      <c r="M1840" s="656" t="s">
        <v>448</v>
      </c>
      <c r="N1840" s="656" t="s">
        <v>449</v>
      </c>
      <c r="O1840" s="656" t="s">
        <v>449</v>
      </c>
      <c r="P1840" s="656" t="s">
        <v>1176</v>
      </c>
      <c r="Q1840" s="657">
        <v>0</v>
      </c>
      <c r="R1840" s="657">
        <v>0</v>
      </c>
      <c r="S1840" s="657">
        <v>14936</v>
      </c>
      <c r="T1840" s="657">
        <v>14936</v>
      </c>
      <c r="U1840" s="657">
        <v>1689</v>
      </c>
      <c r="V1840" s="655">
        <v>2021</v>
      </c>
      <c r="W1840" s="659"/>
      <c r="X1840" s="660">
        <f t="shared" si="86"/>
        <v>8.8431024274718766</v>
      </c>
      <c r="Y1840" s="661" t="str">
        <f t="shared" si="84"/>
        <v/>
      </c>
      <c r="Z1840" s="661" t="str">
        <f t="shared" si="85"/>
        <v/>
      </c>
    </row>
    <row r="1841" spans="1:26" s="128" customFormat="1">
      <c r="A1841" s="655">
        <v>62371</v>
      </c>
      <c r="B1841" s="656" t="s">
        <v>33</v>
      </c>
      <c r="C1841" s="655" t="s">
        <v>2793</v>
      </c>
      <c r="D1841" s="656" t="s">
        <v>2467</v>
      </c>
      <c r="E1841" s="656" t="s">
        <v>2468</v>
      </c>
      <c r="F1841" s="655">
        <v>61897</v>
      </c>
      <c r="G1841" s="656" t="s">
        <v>81</v>
      </c>
      <c r="H1841" s="656" t="s">
        <v>1183</v>
      </c>
      <c r="I1841" s="656" t="s">
        <v>58</v>
      </c>
      <c r="J1841" s="655">
        <v>22</v>
      </c>
      <c r="K1841" s="655">
        <v>2</v>
      </c>
      <c r="L1841" s="656" t="s">
        <v>52</v>
      </c>
      <c r="M1841" s="656" t="s">
        <v>448</v>
      </c>
      <c r="N1841" s="656" t="s">
        <v>449</v>
      </c>
      <c r="O1841" s="656" t="s">
        <v>449</v>
      </c>
      <c r="P1841" s="656" t="s">
        <v>1176</v>
      </c>
      <c r="Q1841" s="657">
        <v>0</v>
      </c>
      <c r="R1841" s="657">
        <v>0</v>
      </c>
      <c r="S1841" s="657">
        <v>19323</v>
      </c>
      <c r="T1841" s="657">
        <v>19323</v>
      </c>
      <c r="U1841" s="657">
        <v>2185</v>
      </c>
      <c r="V1841" s="655">
        <v>2021</v>
      </c>
      <c r="W1841" s="659"/>
      <c r="X1841" s="660">
        <f t="shared" si="86"/>
        <v>8.8434782608695652</v>
      </c>
      <c r="Y1841" s="661" t="str">
        <f t="shared" si="84"/>
        <v/>
      </c>
      <c r="Z1841" s="661" t="str">
        <f t="shared" si="85"/>
        <v/>
      </c>
    </row>
    <row r="1842" spans="1:26" s="128" customFormat="1">
      <c r="A1842" s="655">
        <v>62372</v>
      </c>
      <c r="B1842" s="656" t="s">
        <v>33</v>
      </c>
      <c r="C1842" s="655" t="s">
        <v>2793</v>
      </c>
      <c r="D1842" s="656" t="s">
        <v>2469</v>
      </c>
      <c r="E1842" s="656" t="s">
        <v>2470</v>
      </c>
      <c r="F1842" s="655">
        <v>61898</v>
      </c>
      <c r="G1842" s="656" t="s">
        <v>81</v>
      </c>
      <c r="H1842" s="656" t="s">
        <v>1183</v>
      </c>
      <c r="I1842" s="656" t="s">
        <v>58</v>
      </c>
      <c r="J1842" s="655">
        <v>22</v>
      </c>
      <c r="K1842" s="655">
        <v>2</v>
      </c>
      <c r="L1842" s="656" t="s">
        <v>52</v>
      </c>
      <c r="M1842" s="656" t="s">
        <v>448</v>
      </c>
      <c r="N1842" s="656" t="s">
        <v>449</v>
      </c>
      <c r="O1842" s="656" t="s">
        <v>449</v>
      </c>
      <c r="P1842" s="656" t="s">
        <v>1176</v>
      </c>
      <c r="Q1842" s="657">
        <v>0</v>
      </c>
      <c r="R1842" s="657">
        <v>0</v>
      </c>
      <c r="S1842" s="657">
        <v>20188</v>
      </c>
      <c r="T1842" s="657">
        <v>20188</v>
      </c>
      <c r="U1842" s="657">
        <v>2283</v>
      </c>
      <c r="V1842" s="655">
        <v>2021</v>
      </c>
      <c r="W1842" s="659"/>
      <c r="X1842" s="660">
        <f t="shared" si="86"/>
        <v>8.8427507665352607</v>
      </c>
      <c r="Y1842" s="661" t="str">
        <f t="shared" si="84"/>
        <v/>
      </c>
      <c r="Z1842" s="661" t="str">
        <f t="shared" si="85"/>
        <v/>
      </c>
    </row>
    <row r="1843" spans="1:26" s="128" customFormat="1" ht="25" hidden="1">
      <c r="A1843" s="655">
        <v>62381</v>
      </c>
      <c r="B1843" s="656" t="s">
        <v>33</v>
      </c>
      <c r="C1843" s="655" t="s">
        <v>2793</v>
      </c>
      <c r="D1843" s="656" t="s">
        <v>2864</v>
      </c>
      <c r="E1843" s="656" t="s">
        <v>132</v>
      </c>
      <c r="F1843" s="655">
        <v>7601</v>
      </c>
      <c r="G1843" s="656" t="s">
        <v>89</v>
      </c>
      <c r="H1843" s="656" t="s">
        <v>1183</v>
      </c>
      <c r="I1843" s="656" t="s">
        <v>58</v>
      </c>
      <c r="J1843" s="655">
        <v>22</v>
      </c>
      <c r="K1843" s="655">
        <v>1</v>
      </c>
      <c r="L1843" s="656" t="s">
        <v>34</v>
      </c>
      <c r="M1843" s="656" t="s">
        <v>1890</v>
      </c>
      <c r="N1843" s="656" t="s">
        <v>1052</v>
      </c>
      <c r="O1843" s="656" t="s">
        <v>82</v>
      </c>
      <c r="P1843" s="656" t="s">
        <v>2794</v>
      </c>
      <c r="Q1843" s="657">
        <v>462</v>
      </c>
      <c r="R1843" s="657">
        <v>462</v>
      </c>
      <c r="S1843" s="657">
        <v>0</v>
      </c>
      <c r="T1843" s="657">
        <v>0</v>
      </c>
      <c r="U1843" s="657">
        <v>333</v>
      </c>
      <c r="V1843" s="655">
        <v>2021</v>
      </c>
      <c r="W1843" s="659"/>
      <c r="X1843" s="660" t="str">
        <f t="shared" si="86"/>
        <v/>
      </c>
      <c r="Y1843" s="661" t="str">
        <f t="shared" si="84"/>
        <v/>
      </c>
      <c r="Z1843" s="661" t="str">
        <f t="shared" si="85"/>
        <v/>
      </c>
    </row>
    <row r="1844" spans="1:26" s="128" customFormat="1" ht="25" hidden="1">
      <c r="A1844" s="655">
        <v>62381</v>
      </c>
      <c r="B1844" s="656" t="s">
        <v>33</v>
      </c>
      <c r="C1844" s="655" t="s">
        <v>2793</v>
      </c>
      <c r="D1844" s="656" t="s">
        <v>2864</v>
      </c>
      <c r="E1844" s="656" t="s">
        <v>132</v>
      </c>
      <c r="F1844" s="655">
        <v>7601</v>
      </c>
      <c r="G1844" s="656" t="s">
        <v>89</v>
      </c>
      <c r="H1844" s="656" t="s">
        <v>1183</v>
      </c>
      <c r="I1844" s="656" t="s">
        <v>58</v>
      </c>
      <c r="J1844" s="655">
        <v>22</v>
      </c>
      <c r="K1844" s="655">
        <v>1</v>
      </c>
      <c r="L1844" s="656" t="s">
        <v>34</v>
      </c>
      <c r="M1844" s="656" t="s">
        <v>448</v>
      </c>
      <c r="N1844" s="656" t="s">
        <v>449</v>
      </c>
      <c r="O1844" s="656" t="s">
        <v>449</v>
      </c>
      <c r="P1844" s="656" t="s">
        <v>1176</v>
      </c>
      <c r="Q1844" s="657">
        <v>0</v>
      </c>
      <c r="R1844" s="657">
        <v>0</v>
      </c>
      <c r="S1844" s="657">
        <v>62201</v>
      </c>
      <c r="T1844" s="657">
        <v>62201</v>
      </c>
      <c r="U1844" s="657">
        <v>7034</v>
      </c>
      <c r="V1844" s="655">
        <v>2021</v>
      </c>
      <c r="W1844" s="659"/>
      <c r="X1844" s="660">
        <f t="shared" si="86"/>
        <v>8.8429058856980376</v>
      </c>
      <c r="Y1844" s="661" t="str">
        <f t="shared" si="84"/>
        <v/>
      </c>
      <c r="Z1844" s="661" t="str">
        <f t="shared" si="85"/>
        <v/>
      </c>
    </row>
    <row r="1845" spans="1:26" s="128" customFormat="1" ht="25" hidden="1">
      <c r="A1845" s="655">
        <v>62382</v>
      </c>
      <c r="B1845" s="656" t="s">
        <v>33</v>
      </c>
      <c r="C1845" s="655" t="s">
        <v>2793</v>
      </c>
      <c r="D1845" s="656" t="s">
        <v>2865</v>
      </c>
      <c r="E1845" s="656" t="s">
        <v>132</v>
      </c>
      <c r="F1845" s="655">
        <v>7601</v>
      </c>
      <c r="G1845" s="656" t="s">
        <v>89</v>
      </c>
      <c r="H1845" s="656" t="s">
        <v>1183</v>
      </c>
      <c r="I1845" s="656" t="s">
        <v>58</v>
      </c>
      <c r="J1845" s="655">
        <v>22</v>
      </c>
      <c r="K1845" s="655">
        <v>1</v>
      </c>
      <c r="L1845" s="656" t="s">
        <v>34</v>
      </c>
      <c r="M1845" s="656" t="s">
        <v>1890</v>
      </c>
      <c r="N1845" s="656" t="s">
        <v>1052</v>
      </c>
      <c r="O1845" s="656" t="s">
        <v>82</v>
      </c>
      <c r="P1845" s="656" t="s">
        <v>2794</v>
      </c>
      <c r="Q1845" s="657">
        <v>1255</v>
      </c>
      <c r="R1845" s="657">
        <v>1255</v>
      </c>
      <c r="S1845" s="657">
        <v>0</v>
      </c>
      <c r="T1845" s="657">
        <v>0</v>
      </c>
      <c r="U1845" s="657">
        <v>627</v>
      </c>
      <c r="V1845" s="655">
        <v>2021</v>
      </c>
      <c r="W1845" s="659"/>
      <c r="X1845" s="660" t="str">
        <f t="shared" si="86"/>
        <v/>
      </c>
      <c r="Y1845" s="661" t="str">
        <f t="shared" si="84"/>
        <v/>
      </c>
      <c r="Z1845" s="661" t="str">
        <f t="shared" si="85"/>
        <v/>
      </c>
    </row>
    <row r="1846" spans="1:26" s="128" customFormat="1" ht="25" hidden="1">
      <c r="A1846" s="655">
        <v>62382</v>
      </c>
      <c r="B1846" s="656" t="s">
        <v>33</v>
      </c>
      <c r="C1846" s="655" t="s">
        <v>2793</v>
      </c>
      <c r="D1846" s="656" t="s">
        <v>2865</v>
      </c>
      <c r="E1846" s="656" t="s">
        <v>132</v>
      </c>
      <c r="F1846" s="655">
        <v>7601</v>
      </c>
      <c r="G1846" s="656" t="s">
        <v>89</v>
      </c>
      <c r="H1846" s="656" t="s">
        <v>1183</v>
      </c>
      <c r="I1846" s="656" t="s">
        <v>58</v>
      </c>
      <c r="J1846" s="655">
        <v>22</v>
      </c>
      <c r="K1846" s="655">
        <v>1</v>
      </c>
      <c r="L1846" s="656" t="s">
        <v>34</v>
      </c>
      <c r="M1846" s="656" t="s">
        <v>448</v>
      </c>
      <c r="N1846" s="656" t="s">
        <v>449</v>
      </c>
      <c r="O1846" s="656" t="s">
        <v>449</v>
      </c>
      <c r="P1846" s="656" t="s">
        <v>1176</v>
      </c>
      <c r="Q1846" s="657">
        <v>0</v>
      </c>
      <c r="R1846" s="657">
        <v>0</v>
      </c>
      <c r="S1846" s="657">
        <v>68500</v>
      </c>
      <c r="T1846" s="657">
        <v>68500</v>
      </c>
      <c r="U1846" s="657">
        <v>7746</v>
      </c>
      <c r="V1846" s="655">
        <v>2021</v>
      </c>
      <c r="W1846" s="659"/>
      <c r="X1846" s="660">
        <f t="shared" si="86"/>
        <v>8.8432739478440485</v>
      </c>
      <c r="Y1846" s="661" t="str">
        <f t="shared" si="84"/>
        <v/>
      </c>
      <c r="Z1846" s="661" t="str">
        <f t="shared" si="85"/>
        <v/>
      </c>
    </row>
    <row r="1847" spans="1:26" s="128" customFormat="1" ht="25" hidden="1">
      <c r="A1847" s="655">
        <v>62383</v>
      </c>
      <c r="B1847" s="656" t="s">
        <v>33</v>
      </c>
      <c r="C1847" s="655" t="s">
        <v>2793</v>
      </c>
      <c r="D1847" s="656" t="s">
        <v>2866</v>
      </c>
      <c r="E1847" s="656" t="s">
        <v>132</v>
      </c>
      <c r="F1847" s="655">
        <v>7601</v>
      </c>
      <c r="G1847" s="656" t="s">
        <v>89</v>
      </c>
      <c r="H1847" s="656" t="s">
        <v>1183</v>
      </c>
      <c r="I1847" s="656" t="s">
        <v>58</v>
      </c>
      <c r="J1847" s="655">
        <v>22</v>
      </c>
      <c r="K1847" s="655">
        <v>1</v>
      </c>
      <c r="L1847" s="656" t="s">
        <v>34</v>
      </c>
      <c r="M1847" s="656" t="s">
        <v>1890</v>
      </c>
      <c r="N1847" s="656" t="s">
        <v>1052</v>
      </c>
      <c r="O1847" s="656" t="s">
        <v>82</v>
      </c>
      <c r="P1847" s="656" t="s">
        <v>2794</v>
      </c>
      <c r="Q1847" s="657">
        <v>556</v>
      </c>
      <c r="R1847" s="657">
        <v>556</v>
      </c>
      <c r="S1847" s="657">
        <v>0</v>
      </c>
      <c r="T1847" s="657">
        <v>0</v>
      </c>
      <c r="U1847" s="657">
        <v>1371</v>
      </c>
      <c r="V1847" s="655">
        <v>2021</v>
      </c>
      <c r="W1847" s="659"/>
      <c r="X1847" s="660" t="str">
        <f t="shared" si="86"/>
        <v/>
      </c>
      <c r="Y1847" s="661" t="str">
        <f t="shared" si="84"/>
        <v/>
      </c>
      <c r="Z1847" s="661" t="str">
        <f t="shared" si="85"/>
        <v/>
      </c>
    </row>
    <row r="1848" spans="1:26" s="128" customFormat="1" ht="25" hidden="1">
      <c r="A1848" s="655">
        <v>62383</v>
      </c>
      <c r="B1848" s="656" t="s">
        <v>33</v>
      </c>
      <c r="C1848" s="655" t="s">
        <v>2793</v>
      </c>
      <c r="D1848" s="656" t="s">
        <v>2866</v>
      </c>
      <c r="E1848" s="656" t="s">
        <v>132</v>
      </c>
      <c r="F1848" s="655">
        <v>7601</v>
      </c>
      <c r="G1848" s="656" t="s">
        <v>89</v>
      </c>
      <c r="H1848" s="656" t="s">
        <v>1183</v>
      </c>
      <c r="I1848" s="656" t="s">
        <v>58</v>
      </c>
      <c r="J1848" s="655">
        <v>22</v>
      </c>
      <c r="K1848" s="655">
        <v>1</v>
      </c>
      <c r="L1848" s="656" t="s">
        <v>34</v>
      </c>
      <c r="M1848" s="656" t="s">
        <v>448</v>
      </c>
      <c r="N1848" s="656" t="s">
        <v>449</v>
      </c>
      <c r="O1848" s="656" t="s">
        <v>449</v>
      </c>
      <c r="P1848" s="656" t="s">
        <v>1176</v>
      </c>
      <c r="Q1848" s="657">
        <v>0</v>
      </c>
      <c r="R1848" s="657">
        <v>0</v>
      </c>
      <c r="S1848" s="657">
        <v>56375</v>
      </c>
      <c r="T1848" s="657">
        <v>56375</v>
      </c>
      <c r="U1848" s="657">
        <v>6375</v>
      </c>
      <c r="V1848" s="655">
        <v>2021</v>
      </c>
      <c r="W1848" s="659"/>
      <c r="X1848" s="660">
        <f t="shared" si="86"/>
        <v>8.8431372549019613</v>
      </c>
      <c r="Y1848" s="661" t="str">
        <f t="shared" si="84"/>
        <v/>
      </c>
      <c r="Z1848" s="661" t="str">
        <f t="shared" si="85"/>
        <v/>
      </c>
    </row>
    <row r="1849" spans="1:26" s="128" customFormat="1" hidden="1">
      <c r="A1849" s="655">
        <v>62389</v>
      </c>
      <c r="B1849" s="656" t="s">
        <v>33</v>
      </c>
      <c r="C1849" s="655" t="s">
        <v>2793</v>
      </c>
      <c r="D1849" s="656" t="s">
        <v>2867</v>
      </c>
      <c r="E1849" s="656" t="s">
        <v>2868</v>
      </c>
      <c r="F1849" s="655">
        <v>61916</v>
      </c>
      <c r="G1849" s="656" t="s">
        <v>57</v>
      </c>
      <c r="H1849" s="656" t="s">
        <v>1182</v>
      </c>
      <c r="I1849" s="656" t="s">
        <v>58</v>
      </c>
      <c r="J1849" s="655">
        <v>22</v>
      </c>
      <c r="K1849" s="655">
        <v>2</v>
      </c>
      <c r="L1849" s="656" t="s">
        <v>52</v>
      </c>
      <c r="M1849" s="656" t="s">
        <v>448</v>
      </c>
      <c r="N1849" s="656" t="s">
        <v>449</v>
      </c>
      <c r="O1849" s="656" t="s">
        <v>449</v>
      </c>
      <c r="P1849" s="656" t="s">
        <v>1176</v>
      </c>
      <c r="Q1849" s="657">
        <v>0</v>
      </c>
      <c r="R1849" s="657">
        <v>0</v>
      </c>
      <c r="S1849" s="657">
        <v>228495</v>
      </c>
      <c r="T1849" s="657">
        <v>228495</v>
      </c>
      <c r="U1849" s="657">
        <v>25839</v>
      </c>
      <c r="V1849" s="655">
        <v>2021</v>
      </c>
      <c r="W1849" s="659"/>
      <c r="X1849" s="660">
        <f t="shared" si="86"/>
        <v>8.8430279809590147</v>
      </c>
      <c r="Y1849" s="661" t="str">
        <f t="shared" si="84"/>
        <v/>
      </c>
      <c r="Z1849" s="661" t="str">
        <f t="shared" si="85"/>
        <v/>
      </c>
    </row>
    <row r="1850" spans="1:26" s="128" customFormat="1" ht="25" hidden="1">
      <c r="A1850" s="655">
        <v>62398</v>
      </c>
      <c r="B1850" s="656" t="s">
        <v>33</v>
      </c>
      <c r="C1850" s="655" t="s">
        <v>2793</v>
      </c>
      <c r="D1850" s="656" t="s">
        <v>2471</v>
      </c>
      <c r="E1850" s="656" t="s">
        <v>2471</v>
      </c>
      <c r="F1850" s="655">
        <v>61936</v>
      </c>
      <c r="G1850" s="656" t="s">
        <v>57</v>
      </c>
      <c r="H1850" s="656" t="s">
        <v>1182</v>
      </c>
      <c r="I1850" s="656" t="s">
        <v>58</v>
      </c>
      <c r="J1850" s="655">
        <v>622</v>
      </c>
      <c r="K1850" s="655">
        <v>4</v>
      </c>
      <c r="L1850" s="656" t="s">
        <v>412</v>
      </c>
      <c r="M1850" s="656" t="s">
        <v>51</v>
      </c>
      <c r="N1850" s="656" t="s">
        <v>46</v>
      </c>
      <c r="O1850" s="656" t="s">
        <v>46</v>
      </c>
      <c r="P1850" s="656" t="s">
        <v>47</v>
      </c>
      <c r="Q1850" s="657">
        <v>148</v>
      </c>
      <c r="R1850" s="657">
        <v>148</v>
      </c>
      <c r="S1850" s="657">
        <v>816</v>
      </c>
      <c r="T1850" s="657">
        <v>816</v>
      </c>
      <c r="U1850" s="657">
        <v>6</v>
      </c>
      <c r="V1850" s="655">
        <v>2021</v>
      </c>
      <c r="W1850" s="659"/>
      <c r="X1850" s="660" t="str">
        <f t="shared" si="86"/>
        <v/>
      </c>
      <c r="Y1850" s="661" t="str">
        <f t="shared" si="84"/>
        <v/>
      </c>
      <c r="Z1850" s="661" t="str">
        <f t="shared" si="85"/>
        <v/>
      </c>
    </row>
    <row r="1851" spans="1:26" s="128" customFormat="1" hidden="1">
      <c r="A1851" s="655">
        <v>62412</v>
      </c>
      <c r="B1851" s="656" t="s">
        <v>33</v>
      </c>
      <c r="C1851" s="655" t="s">
        <v>2793</v>
      </c>
      <c r="D1851" s="656" t="s">
        <v>2869</v>
      </c>
      <c r="E1851" s="656" t="s">
        <v>2870</v>
      </c>
      <c r="F1851" s="655">
        <v>61925</v>
      </c>
      <c r="G1851" s="656" t="s">
        <v>57</v>
      </c>
      <c r="H1851" s="656" t="s">
        <v>1182</v>
      </c>
      <c r="I1851" s="656" t="s">
        <v>58</v>
      </c>
      <c r="J1851" s="655">
        <v>22</v>
      </c>
      <c r="K1851" s="655">
        <v>2</v>
      </c>
      <c r="L1851" s="656" t="s">
        <v>52</v>
      </c>
      <c r="M1851" s="656" t="s">
        <v>448</v>
      </c>
      <c r="N1851" s="656" t="s">
        <v>449</v>
      </c>
      <c r="O1851" s="656" t="s">
        <v>449</v>
      </c>
      <c r="P1851" s="656" t="s">
        <v>1176</v>
      </c>
      <c r="Q1851" s="657">
        <v>0</v>
      </c>
      <c r="R1851" s="657">
        <v>0</v>
      </c>
      <c r="S1851" s="657">
        <v>53809</v>
      </c>
      <c r="T1851" s="657">
        <v>53809</v>
      </c>
      <c r="U1851" s="657">
        <v>6085</v>
      </c>
      <c r="V1851" s="655">
        <v>2021</v>
      </c>
      <c r="W1851" s="659"/>
      <c r="X1851" s="660">
        <f t="shared" si="86"/>
        <v>8.8428923582580108</v>
      </c>
      <c r="Y1851" s="661" t="str">
        <f t="shared" si="84"/>
        <v/>
      </c>
      <c r="Z1851" s="661" t="str">
        <f t="shared" si="85"/>
        <v/>
      </c>
    </row>
    <row r="1852" spans="1:26" s="128" customFormat="1" ht="25" hidden="1">
      <c r="A1852" s="655">
        <v>62413</v>
      </c>
      <c r="B1852" s="656" t="s">
        <v>33</v>
      </c>
      <c r="C1852" s="655" t="s">
        <v>2793</v>
      </c>
      <c r="D1852" s="656" t="s">
        <v>2871</v>
      </c>
      <c r="E1852" s="656" t="s">
        <v>2872</v>
      </c>
      <c r="F1852" s="655">
        <v>61926</v>
      </c>
      <c r="G1852" s="656" t="s">
        <v>57</v>
      </c>
      <c r="H1852" s="656" t="s">
        <v>1182</v>
      </c>
      <c r="I1852" s="656" t="s">
        <v>58</v>
      </c>
      <c r="J1852" s="655">
        <v>22</v>
      </c>
      <c r="K1852" s="655">
        <v>2</v>
      </c>
      <c r="L1852" s="656" t="s">
        <v>52</v>
      </c>
      <c r="M1852" s="656" t="s">
        <v>448</v>
      </c>
      <c r="N1852" s="656" t="s">
        <v>449</v>
      </c>
      <c r="O1852" s="656" t="s">
        <v>449</v>
      </c>
      <c r="P1852" s="656" t="s">
        <v>1176</v>
      </c>
      <c r="Q1852" s="657">
        <v>0</v>
      </c>
      <c r="R1852" s="657">
        <v>0</v>
      </c>
      <c r="S1852" s="657">
        <v>249125</v>
      </c>
      <c r="T1852" s="657">
        <v>249125</v>
      </c>
      <c r="U1852" s="657">
        <v>28172</v>
      </c>
      <c r="V1852" s="655">
        <v>2021</v>
      </c>
      <c r="W1852" s="659"/>
      <c r="X1852" s="660">
        <f t="shared" si="86"/>
        <v>8.84300014198495</v>
      </c>
      <c r="Y1852" s="661" t="str">
        <f t="shared" si="84"/>
        <v/>
      </c>
      <c r="Z1852" s="661" t="str">
        <f t="shared" si="85"/>
        <v/>
      </c>
    </row>
    <row r="1853" spans="1:26" s="128" customFormat="1" ht="25" hidden="1">
      <c r="A1853" s="655">
        <v>62421</v>
      </c>
      <c r="B1853" s="656" t="s">
        <v>33</v>
      </c>
      <c r="C1853" s="655" t="s">
        <v>2793</v>
      </c>
      <c r="D1853" s="656" t="s">
        <v>2472</v>
      </c>
      <c r="E1853" s="656" t="s">
        <v>2472</v>
      </c>
      <c r="F1853" s="655">
        <v>61947</v>
      </c>
      <c r="G1853" s="656" t="s">
        <v>57</v>
      </c>
      <c r="H1853" s="656" t="s">
        <v>1182</v>
      </c>
      <c r="I1853" s="656" t="s">
        <v>58</v>
      </c>
      <c r="J1853" s="655">
        <v>622</v>
      </c>
      <c r="K1853" s="655">
        <v>4</v>
      </c>
      <c r="L1853" s="656" t="s">
        <v>412</v>
      </c>
      <c r="M1853" s="656" t="s">
        <v>51</v>
      </c>
      <c r="N1853" s="656" t="s">
        <v>46</v>
      </c>
      <c r="O1853" s="656" t="s">
        <v>46</v>
      </c>
      <c r="P1853" s="656" t="s">
        <v>47</v>
      </c>
      <c r="Q1853" s="657">
        <v>35</v>
      </c>
      <c r="R1853" s="657">
        <v>35</v>
      </c>
      <c r="S1853" s="657">
        <v>195</v>
      </c>
      <c r="T1853" s="657">
        <v>195</v>
      </c>
      <c r="U1853" s="657">
        <v>21</v>
      </c>
      <c r="V1853" s="655">
        <v>2021</v>
      </c>
      <c r="W1853" s="659"/>
      <c r="X1853" s="660" t="str">
        <f t="shared" si="86"/>
        <v/>
      </c>
      <c r="Y1853" s="661" t="str">
        <f t="shared" si="84"/>
        <v/>
      </c>
      <c r="Z1853" s="661" t="str">
        <f t="shared" si="85"/>
        <v/>
      </c>
    </row>
    <row r="1854" spans="1:26" s="128" customFormat="1" ht="25" hidden="1">
      <c r="A1854" s="655">
        <v>62423</v>
      </c>
      <c r="B1854" s="656" t="s">
        <v>33</v>
      </c>
      <c r="C1854" s="655" t="s">
        <v>2793</v>
      </c>
      <c r="D1854" s="656" t="s">
        <v>2473</v>
      </c>
      <c r="E1854" s="656" t="s">
        <v>2473</v>
      </c>
      <c r="F1854" s="655">
        <v>61948</v>
      </c>
      <c r="G1854" s="656" t="s">
        <v>57</v>
      </c>
      <c r="H1854" s="656" t="s">
        <v>1182</v>
      </c>
      <c r="I1854" s="656" t="s">
        <v>58</v>
      </c>
      <c r="J1854" s="655">
        <v>622</v>
      </c>
      <c r="K1854" s="655">
        <v>4</v>
      </c>
      <c r="L1854" s="656" t="s">
        <v>412</v>
      </c>
      <c r="M1854" s="656" t="s">
        <v>51</v>
      </c>
      <c r="N1854" s="656" t="s">
        <v>46</v>
      </c>
      <c r="O1854" s="656" t="s">
        <v>46</v>
      </c>
      <c r="P1854" s="656" t="s">
        <v>47</v>
      </c>
      <c r="Q1854" s="657">
        <v>374</v>
      </c>
      <c r="R1854" s="657">
        <v>374</v>
      </c>
      <c r="S1854" s="657">
        <v>2060</v>
      </c>
      <c r="T1854" s="657">
        <v>2060</v>
      </c>
      <c r="U1854" s="657">
        <v>102.146</v>
      </c>
      <c r="V1854" s="655">
        <v>2021</v>
      </c>
      <c r="W1854" s="659"/>
      <c r="X1854" s="660" t="str">
        <f t="shared" si="86"/>
        <v/>
      </c>
      <c r="Y1854" s="661" t="str">
        <f t="shared" si="84"/>
        <v/>
      </c>
      <c r="Z1854" s="661" t="str">
        <f t="shared" si="85"/>
        <v/>
      </c>
    </row>
    <row r="1855" spans="1:26" s="128" customFormat="1" ht="25" hidden="1">
      <c r="A1855" s="655">
        <v>62423</v>
      </c>
      <c r="B1855" s="656" t="s">
        <v>33</v>
      </c>
      <c r="C1855" s="655" t="s">
        <v>2793</v>
      </c>
      <c r="D1855" s="656" t="s">
        <v>2473</v>
      </c>
      <c r="E1855" s="656" t="s">
        <v>2473</v>
      </c>
      <c r="F1855" s="655">
        <v>61948</v>
      </c>
      <c r="G1855" s="656" t="s">
        <v>57</v>
      </c>
      <c r="H1855" s="656" t="s">
        <v>1182</v>
      </c>
      <c r="I1855" s="656" t="s">
        <v>58</v>
      </c>
      <c r="J1855" s="655">
        <v>622</v>
      </c>
      <c r="K1855" s="655">
        <v>4</v>
      </c>
      <c r="L1855" s="656" t="s">
        <v>412</v>
      </c>
      <c r="M1855" s="656" t="s">
        <v>51</v>
      </c>
      <c r="N1855" s="656" t="s">
        <v>39</v>
      </c>
      <c r="O1855" s="656" t="s">
        <v>39</v>
      </c>
      <c r="P1855" s="656" t="s">
        <v>1037</v>
      </c>
      <c r="Q1855" s="657">
        <v>701</v>
      </c>
      <c r="R1855" s="657">
        <v>701</v>
      </c>
      <c r="S1855" s="657">
        <v>723</v>
      </c>
      <c r="T1855" s="657">
        <v>723</v>
      </c>
      <c r="U1855" s="657">
        <v>35.853999999999999</v>
      </c>
      <c r="V1855" s="655">
        <v>2021</v>
      </c>
      <c r="W1855" s="659"/>
      <c r="X1855" s="660" t="str">
        <f t="shared" si="86"/>
        <v/>
      </c>
      <c r="Y1855" s="661" t="str">
        <f t="shared" si="84"/>
        <v/>
      </c>
      <c r="Z1855" s="661" t="str">
        <f t="shared" si="85"/>
        <v/>
      </c>
    </row>
    <row r="1856" spans="1:26" s="128" customFormat="1" ht="25" hidden="1">
      <c r="A1856" s="655">
        <v>62424</v>
      </c>
      <c r="B1856" s="656" t="s">
        <v>54</v>
      </c>
      <c r="C1856" s="655" t="s">
        <v>2793</v>
      </c>
      <c r="D1856" s="656" t="s">
        <v>2474</v>
      </c>
      <c r="E1856" s="656" t="s">
        <v>2475</v>
      </c>
      <c r="F1856" s="655">
        <v>60791</v>
      </c>
      <c r="G1856" s="656" t="s">
        <v>57</v>
      </c>
      <c r="H1856" s="656" t="s">
        <v>1182</v>
      </c>
      <c r="I1856" s="656" t="s">
        <v>58</v>
      </c>
      <c r="J1856" s="655">
        <v>623</v>
      </c>
      <c r="K1856" s="655">
        <v>5</v>
      </c>
      <c r="L1856" s="656" t="s">
        <v>413</v>
      </c>
      <c r="M1856" s="656" t="s">
        <v>51</v>
      </c>
      <c r="N1856" s="656" t="s">
        <v>39</v>
      </c>
      <c r="O1856" s="656" t="s">
        <v>39</v>
      </c>
      <c r="P1856" s="656" t="s">
        <v>1037</v>
      </c>
      <c r="Q1856" s="657">
        <v>78445</v>
      </c>
      <c r="R1856" s="657">
        <v>37315</v>
      </c>
      <c r="S1856" s="657">
        <v>86291</v>
      </c>
      <c r="T1856" s="657">
        <v>41046</v>
      </c>
      <c r="U1856" s="657">
        <v>3198</v>
      </c>
      <c r="V1856" s="655">
        <v>2021</v>
      </c>
      <c r="W1856" s="659"/>
      <c r="X1856" s="660" t="str">
        <f t="shared" si="86"/>
        <v/>
      </c>
      <c r="Y1856" s="661" t="str">
        <f t="shared" si="84"/>
        <v/>
      </c>
      <c r="Z1856" s="661" t="str">
        <f t="shared" si="85"/>
        <v/>
      </c>
    </row>
    <row r="1857" spans="1:26" s="128" customFormat="1" ht="25" hidden="1">
      <c r="A1857" s="655">
        <v>62443</v>
      </c>
      <c r="B1857" s="656" t="s">
        <v>33</v>
      </c>
      <c r="C1857" s="655" t="s">
        <v>2793</v>
      </c>
      <c r="D1857" s="656" t="s">
        <v>2873</v>
      </c>
      <c r="E1857" s="656" t="s">
        <v>2874</v>
      </c>
      <c r="F1857" s="655">
        <v>61966</v>
      </c>
      <c r="G1857" s="656" t="s">
        <v>89</v>
      </c>
      <c r="H1857" s="656" t="s">
        <v>1183</v>
      </c>
      <c r="I1857" s="656" t="s">
        <v>58</v>
      </c>
      <c r="J1857" s="655">
        <v>22</v>
      </c>
      <c r="K1857" s="655">
        <v>2</v>
      </c>
      <c r="L1857" s="656" t="s">
        <v>52</v>
      </c>
      <c r="M1857" s="656" t="s">
        <v>448</v>
      </c>
      <c r="N1857" s="656" t="s">
        <v>449</v>
      </c>
      <c r="O1857" s="656" t="s">
        <v>449</v>
      </c>
      <c r="P1857" s="656" t="s">
        <v>1176</v>
      </c>
      <c r="Q1857" s="657">
        <v>0</v>
      </c>
      <c r="R1857" s="657">
        <v>0</v>
      </c>
      <c r="S1857" s="657">
        <v>23983</v>
      </c>
      <c r="T1857" s="657">
        <v>23983</v>
      </c>
      <c r="U1857" s="657">
        <v>2712</v>
      </c>
      <c r="V1857" s="655">
        <v>2021</v>
      </c>
      <c r="W1857" s="659"/>
      <c r="X1857" s="660">
        <f t="shared" si="86"/>
        <v>8.843289085545722</v>
      </c>
      <c r="Y1857" s="661" t="str">
        <f t="shared" si="84"/>
        <v/>
      </c>
      <c r="Z1857" s="661" t="str">
        <f t="shared" si="85"/>
        <v/>
      </c>
    </row>
    <row r="1858" spans="1:26" s="128" customFormat="1" ht="25" hidden="1">
      <c r="A1858" s="655">
        <v>62446</v>
      </c>
      <c r="B1858" s="656" t="s">
        <v>33</v>
      </c>
      <c r="C1858" s="655" t="s">
        <v>2793</v>
      </c>
      <c r="D1858" s="656" t="s">
        <v>2875</v>
      </c>
      <c r="E1858" s="656" t="s">
        <v>2875</v>
      </c>
      <c r="F1858" s="655">
        <v>61955</v>
      </c>
      <c r="G1858" s="656" t="s">
        <v>57</v>
      </c>
      <c r="H1858" s="656" t="s">
        <v>1182</v>
      </c>
      <c r="I1858" s="656" t="s">
        <v>58</v>
      </c>
      <c r="J1858" s="655">
        <v>622</v>
      </c>
      <c r="K1858" s="655">
        <v>4</v>
      </c>
      <c r="L1858" s="656" t="s">
        <v>412</v>
      </c>
      <c r="M1858" s="656" t="s">
        <v>51</v>
      </c>
      <c r="N1858" s="656" t="s">
        <v>46</v>
      </c>
      <c r="O1858" s="656" t="s">
        <v>46</v>
      </c>
      <c r="P1858" s="656" t="s">
        <v>47</v>
      </c>
      <c r="Q1858" s="657">
        <v>30</v>
      </c>
      <c r="R1858" s="657">
        <v>30</v>
      </c>
      <c r="S1858" s="657">
        <v>168</v>
      </c>
      <c r="T1858" s="657">
        <v>168</v>
      </c>
      <c r="U1858" s="657">
        <v>13</v>
      </c>
      <c r="V1858" s="655">
        <v>2021</v>
      </c>
      <c r="W1858" s="659"/>
      <c r="X1858" s="660" t="str">
        <f t="shared" si="86"/>
        <v/>
      </c>
      <c r="Y1858" s="661" t="str">
        <f t="shared" si="84"/>
        <v/>
      </c>
      <c r="Z1858" s="661" t="str">
        <f t="shared" si="85"/>
        <v/>
      </c>
    </row>
    <row r="1859" spans="1:26" s="128" customFormat="1" ht="25" hidden="1">
      <c r="A1859" s="655">
        <v>62447</v>
      </c>
      <c r="B1859" s="656" t="s">
        <v>33</v>
      </c>
      <c r="C1859" s="655" t="s">
        <v>2793</v>
      </c>
      <c r="D1859" s="656" t="s">
        <v>3144</v>
      </c>
      <c r="E1859" s="656" t="s">
        <v>3144</v>
      </c>
      <c r="F1859" s="655">
        <v>61956</v>
      </c>
      <c r="G1859" s="656" t="s">
        <v>57</v>
      </c>
      <c r="H1859" s="656" t="s">
        <v>1182</v>
      </c>
      <c r="I1859" s="656" t="s">
        <v>58</v>
      </c>
      <c r="J1859" s="655">
        <v>622</v>
      </c>
      <c r="K1859" s="655">
        <v>4</v>
      </c>
      <c r="L1859" s="656" t="s">
        <v>412</v>
      </c>
      <c r="M1859" s="656" t="s">
        <v>51</v>
      </c>
      <c r="N1859" s="656" t="s">
        <v>46</v>
      </c>
      <c r="O1859" s="656" t="s">
        <v>46</v>
      </c>
      <c r="P1859" s="656" t="s">
        <v>47</v>
      </c>
      <c r="Q1859" s="657">
        <v>39</v>
      </c>
      <c r="R1859" s="657">
        <v>39</v>
      </c>
      <c r="S1859" s="657">
        <v>229</v>
      </c>
      <c r="T1859" s="657">
        <v>229</v>
      </c>
      <c r="U1859" s="657">
        <v>0</v>
      </c>
      <c r="V1859" s="655">
        <v>2021</v>
      </c>
      <c r="W1859" s="659"/>
      <c r="X1859" s="660" t="str">
        <f t="shared" si="86"/>
        <v/>
      </c>
      <c r="Y1859" s="661" t="str">
        <f t="shared" si="84"/>
        <v/>
      </c>
      <c r="Z1859" s="661" t="str">
        <f t="shared" si="85"/>
        <v/>
      </c>
    </row>
    <row r="1860" spans="1:26" s="128" customFormat="1" ht="25" hidden="1">
      <c r="A1860" s="655">
        <v>62450</v>
      </c>
      <c r="B1860" s="656" t="s">
        <v>33</v>
      </c>
      <c r="C1860" s="655" t="s">
        <v>2793</v>
      </c>
      <c r="D1860" s="656" t="s">
        <v>2876</v>
      </c>
      <c r="E1860" s="656" t="s">
        <v>2876</v>
      </c>
      <c r="F1860" s="655">
        <v>61965</v>
      </c>
      <c r="G1860" s="656" t="s">
        <v>57</v>
      </c>
      <c r="H1860" s="656" t="s">
        <v>1182</v>
      </c>
      <c r="I1860" s="656" t="s">
        <v>58</v>
      </c>
      <c r="J1860" s="655">
        <v>622</v>
      </c>
      <c r="K1860" s="655">
        <v>4</v>
      </c>
      <c r="L1860" s="656" t="s">
        <v>412</v>
      </c>
      <c r="M1860" s="656" t="s">
        <v>51</v>
      </c>
      <c r="N1860" s="656" t="s">
        <v>46</v>
      </c>
      <c r="O1860" s="656" t="s">
        <v>46</v>
      </c>
      <c r="P1860" s="656" t="s">
        <v>47</v>
      </c>
      <c r="Q1860" s="657">
        <v>33</v>
      </c>
      <c r="R1860" s="657">
        <v>33</v>
      </c>
      <c r="S1860" s="657">
        <v>184</v>
      </c>
      <c r="T1860" s="657">
        <v>184</v>
      </c>
      <c r="U1860" s="657">
        <v>13</v>
      </c>
      <c r="V1860" s="655">
        <v>2021</v>
      </c>
      <c r="W1860" s="659"/>
      <c r="X1860" s="660" t="str">
        <f t="shared" si="86"/>
        <v/>
      </c>
      <c r="Y1860" s="661" t="str">
        <f t="shared" si="84"/>
        <v/>
      </c>
      <c r="Z1860" s="661" t="str">
        <f t="shared" si="85"/>
        <v/>
      </c>
    </row>
    <row r="1861" spans="1:26" s="128" customFormat="1" ht="25" hidden="1">
      <c r="A1861" s="655">
        <v>62452</v>
      </c>
      <c r="B1861" s="656" t="s">
        <v>33</v>
      </c>
      <c r="C1861" s="655" t="s">
        <v>2793</v>
      </c>
      <c r="D1861" s="656" t="s">
        <v>2877</v>
      </c>
      <c r="E1861" s="656" t="s">
        <v>2878</v>
      </c>
      <c r="F1861" s="655">
        <v>61970</v>
      </c>
      <c r="G1861" s="656" t="s">
        <v>57</v>
      </c>
      <c r="H1861" s="656" t="s">
        <v>1182</v>
      </c>
      <c r="I1861" s="656" t="s">
        <v>58</v>
      </c>
      <c r="J1861" s="655">
        <v>622</v>
      </c>
      <c r="K1861" s="655">
        <v>4</v>
      </c>
      <c r="L1861" s="656" t="s">
        <v>412</v>
      </c>
      <c r="M1861" s="656" t="s">
        <v>51</v>
      </c>
      <c r="N1861" s="656" t="s">
        <v>46</v>
      </c>
      <c r="O1861" s="656" t="s">
        <v>46</v>
      </c>
      <c r="P1861" s="656" t="s">
        <v>47</v>
      </c>
      <c r="Q1861" s="657">
        <v>13</v>
      </c>
      <c r="R1861" s="657">
        <v>13</v>
      </c>
      <c r="S1861" s="657">
        <v>73</v>
      </c>
      <c r="T1861" s="657">
        <v>73</v>
      </c>
      <c r="U1861" s="657">
        <v>15</v>
      </c>
      <c r="V1861" s="655">
        <v>2021</v>
      </c>
      <c r="W1861" s="659"/>
      <c r="X1861" s="660" t="str">
        <f t="shared" si="86"/>
        <v/>
      </c>
      <c r="Y1861" s="661" t="str">
        <f t="shared" si="84"/>
        <v/>
      </c>
      <c r="Z1861" s="661" t="str">
        <f t="shared" si="85"/>
        <v/>
      </c>
    </row>
    <row r="1862" spans="1:26" s="128" customFormat="1" ht="25" hidden="1">
      <c r="A1862" s="655">
        <v>62453</v>
      </c>
      <c r="B1862" s="656" t="s">
        <v>33</v>
      </c>
      <c r="C1862" s="655" t="s">
        <v>2793</v>
      </c>
      <c r="D1862" s="656" t="s">
        <v>2879</v>
      </c>
      <c r="E1862" s="656" t="s">
        <v>2880</v>
      </c>
      <c r="F1862" s="655">
        <v>61971</v>
      </c>
      <c r="G1862" s="656" t="s">
        <v>57</v>
      </c>
      <c r="H1862" s="656" t="s">
        <v>1182</v>
      </c>
      <c r="I1862" s="656" t="s">
        <v>58</v>
      </c>
      <c r="J1862" s="655">
        <v>622</v>
      </c>
      <c r="K1862" s="655">
        <v>4</v>
      </c>
      <c r="L1862" s="656" t="s">
        <v>412</v>
      </c>
      <c r="M1862" s="656" t="s">
        <v>51</v>
      </c>
      <c r="N1862" s="656" t="s">
        <v>46</v>
      </c>
      <c r="O1862" s="656" t="s">
        <v>46</v>
      </c>
      <c r="P1862" s="656" t="s">
        <v>47</v>
      </c>
      <c r="Q1862" s="657">
        <v>100</v>
      </c>
      <c r="R1862" s="657">
        <v>100</v>
      </c>
      <c r="S1862" s="657">
        <v>555</v>
      </c>
      <c r="T1862" s="657">
        <v>555</v>
      </c>
      <c r="U1862" s="657">
        <v>105</v>
      </c>
      <c r="V1862" s="655">
        <v>2021</v>
      </c>
      <c r="W1862" s="659"/>
      <c r="X1862" s="660" t="str">
        <f t="shared" si="86"/>
        <v/>
      </c>
      <c r="Y1862" s="661" t="str">
        <f t="shared" si="84"/>
        <v/>
      </c>
      <c r="Z1862" s="661" t="str">
        <f t="shared" si="85"/>
        <v/>
      </c>
    </row>
    <row r="1863" spans="1:26" s="128" customFormat="1" hidden="1">
      <c r="A1863" s="655">
        <v>62455</v>
      </c>
      <c r="B1863" s="656" t="s">
        <v>33</v>
      </c>
      <c r="C1863" s="655" t="s">
        <v>2793</v>
      </c>
      <c r="D1863" s="656" t="s">
        <v>2476</v>
      </c>
      <c r="E1863" s="656" t="s">
        <v>1795</v>
      </c>
      <c r="F1863" s="655">
        <v>57128</v>
      </c>
      <c r="G1863" s="656" t="s">
        <v>41</v>
      </c>
      <c r="H1863" s="656" t="s">
        <v>1183</v>
      </c>
      <c r="I1863" s="656" t="s">
        <v>1155</v>
      </c>
      <c r="J1863" s="655">
        <v>22</v>
      </c>
      <c r="K1863" s="655">
        <v>2</v>
      </c>
      <c r="L1863" s="656" t="s">
        <v>52</v>
      </c>
      <c r="M1863" s="656" t="s">
        <v>1255</v>
      </c>
      <c r="N1863" s="656" t="s">
        <v>39</v>
      </c>
      <c r="O1863" s="656" t="s">
        <v>39</v>
      </c>
      <c r="P1863" s="656" t="s">
        <v>1037</v>
      </c>
      <c r="Q1863" s="657">
        <v>98449</v>
      </c>
      <c r="R1863" s="657">
        <v>98449</v>
      </c>
      <c r="S1863" s="657">
        <v>101403</v>
      </c>
      <c r="T1863" s="657">
        <v>101403</v>
      </c>
      <c r="U1863" s="657">
        <v>13233</v>
      </c>
      <c r="V1863" s="655">
        <v>2021</v>
      </c>
      <c r="W1863" s="659"/>
      <c r="X1863" s="660">
        <f t="shared" si="86"/>
        <v>7.6628882339605529</v>
      </c>
      <c r="Y1863" s="661" t="str">
        <f t="shared" ref="Y1863:Y1926" si="87">IF(AND($M1863=$Y$2,$N1863=$Y$3,NOT($Q1863=$R1863),NOT($U1863=0)),IF($K1863=5,$S1863/($U1863+(8/5)*$U1863),IF($K1863=7,$S1863/($U1863+(29/25)*$U1863),"")),"")</f>
        <v/>
      </c>
      <c r="Z1863" s="661" t="str">
        <f t="shared" ref="Z1863:Z1926" si="88">IF(AND($M1863=$Y$2,$N1863=$Y$4,NOT($Q1863=$R1863),NOT($U1863=0)),IF($K1863=5,$S1863/($U1863+(8/5)*$U1863),IF($K1863=7,$S1863/($U1863+(29/25)*$U1863),"")),"")</f>
        <v/>
      </c>
    </row>
    <row r="1864" spans="1:26" s="128" customFormat="1" hidden="1">
      <c r="A1864" s="655">
        <v>62456</v>
      </c>
      <c r="B1864" s="656" t="s">
        <v>33</v>
      </c>
      <c r="C1864" s="655" t="s">
        <v>2793</v>
      </c>
      <c r="D1864" s="656" t="s">
        <v>2477</v>
      </c>
      <c r="E1864" s="656" t="s">
        <v>1795</v>
      </c>
      <c r="F1864" s="655">
        <v>57128</v>
      </c>
      <c r="G1864" s="656" t="s">
        <v>57</v>
      </c>
      <c r="H1864" s="656" t="s">
        <v>1182</v>
      </c>
      <c r="I1864" s="656" t="s">
        <v>58</v>
      </c>
      <c r="J1864" s="655">
        <v>22</v>
      </c>
      <c r="K1864" s="655">
        <v>2</v>
      </c>
      <c r="L1864" s="656" t="s">
        <v>52</v>
      </c>
      <c r="M1864" s="656" t="s">
        <v>1255</v>
      </c>
      <c r="N1864" s="656" t="s">
        <v>39</v>
      </c>
      <c r="O1864" s="656" t="s">
        <v>39</v>
      </c>
      <c r="P1864" s="656" t="s">
        <v>1037</v>
      </c>
      <c r="Q1864" s="657">
        <v>73247</v>
      </c>
      <c r="R1864" s="657">
        <v>73247</v>
      </c>
      <c r="S1864" s="657">
        <v>75444</v>
      </c>
      <c r="T1864" s="657">
        <v>75444</v>
      </c>
      <c r="U1864" s="657">
        <v>10303</v>
      </c>
      <c r="V1864" s="655">
        <v>2021</v>
      </c>
      <c r="W1864" s="659"/>
      <c r="X1864" s="660">
        <f t="shared" ref="X1864:X1927" si="89">IF(OR(K1864&gt;3,T1864=0,NOT(U1864&gt;0)),"",T1864/U1864)</f>
        <v>7.3225274191982921</v>
      </c>
      <c r="Y1864" s="661" t="str">
        <f t="shared" si="87"/>
        <v/>
      </c>
      <c r="Z1864" s="661" t="str">
        <f t="shared" si="88"/>
        <v/>
      </c>
    </row>
    <row r="1865" spans="1:26" s="128" customFormat="1" ht="25" hidden="1">
      <c r="A1865" s="655">
        <v>62471</v>
      </c>
      <c r="B1865" s="656" t="s">
        <v>33</v>
      </c>
      <c r="C1865" s="655" t="s">
        <v>2793</v>
      </c>
      <c r="D1865" s="656" t="s">
        <v>3145</v>
      </c>
      <c r="E1865" s="656" t="s">
        <v>2852</v>
      </c>
      <c r="F1865" s="655">
        <v>61194</v>
      </c>
      <c r="G1865" s="656" t="s">
        <v>57</v>
      </c>
      <c r="H1865" s="656" t="s">
        <v>1182</v>
      </c>
      <c r="I1865" s="656" t="s">
        <v>58</v>
      </c>
      <c r="J1865" s="655">
        <v>22</v>
      </c>
      <c r="K1865" s="655">
        <v>2</v>
      </c>
      <c r="L1865" s="656" t="s">
        <v>52</v>
      </c>
      <c r="M1865" s="656" t="s">
        <v>448</v>
      </c>
      <c r="N1865" s="656" t="s">
        <v>449</v>
      </c>
      <c r="O1865" s="656" t="s">
        <v>449</v>
      </c>
      <c r="P1865" s="656" t="s">
        <v>1176</v>
      </c>
      <c r="Q1865" s="657">
        <v>0</v>
      </c>
      <c r="R1865" s="657">
        <v>0</v>
      </c>
      <c r="S1865" s="657">
        <v>28182</v>
      </c>
      <c r="T1865" s="657">
        <v>28182</v>
      </c>
      <c r="U1865" s="657">
        <v>3187</v>
      </c>
      <c r="V1865" s="655">
        <v>2021</v>
      </c>
      <c r="W1865" s="659"/>
      <c r="X1865" s="660">
        <f t="shared" si="89"/>
        <v>8.8427988704110447</v>
      </c>
      <c r="Y1865" s="661" t="str">
        <f t="shared" si="87"/>
        <v/>
      </c>
      <c r="Z1865" s="661" t="str">
        <f t="shared" si="88"/>
        <v/>
      </c>
    </row>
    <row r="1866" spans="1:26" s="128" customFormat="1" ht="25" hidden="1">
      <c r="A1866" s="655">
        <v>62472</v>
      </c>
      <c r="B1866" s="656" t="s">
        <v>33</v>
      </c>
      <c r="C1866" s="655" t="s">
        <v>2793</v>
      </c>
      <c r="D1866" s="656" t="s">
        <v>3146</v>
      </c>
      <c r="E1866" s="656" t="s">
        <v>2852</v>
      </c>
      <c r="F1866" s="655">
        <v>61194</v>
      </c>
      <c r="G1866" s="656" t="s">
        <v>57</v>
      </c>
      <c r="H1866" s="656" t="s">
        <v>1182</v>
      </c>
      <c r="I1866" s="656" t="s">
        <v>58</v>
      </c>
      <c r="J1866" s="655">
        <v>22</v>
      </c>
      <c r="K1866" s="655">
        <v>2</v>
      </c>
      <c r="L1866" s="656" t="s">
        <v>52</v>
      </c>
      <c r="M1866" s="656" t="s">
        <v>448</v>
      </c>
      <c r="N1866" s="656" t="s">
        <v>449</v>
      </c>
      <c r="O1866" s="656" t="s">
        <v>449</v>
      </c>
      <c r="P1866" s="656" t="s">
        <v>1176</v>
      </c>
      <c r="Q1866" s="657">
        <v>0</v>
      </c>
      <c r="R1866" s="657">
        <v>0</v>
      </c>
      <c r="S1866" s="657">
        <v>26263</v>
      </c>
      <c r="T1866" s="657">
        <v>26263</v>
      </c>
      <c r="U1866" s="657">
        <v>2970</v>
      </c>
      <c r="V1866" s="655">
        <v>2021</v>
      </c>
      <c r="W1866" s="659"/>
      <c r="X1866" s="660">
        <f t="shared" si="89"/>
        <v>8.8427609427609433</v>
      </c>
      <c r="Y1866" s="661" t="str">
        <f t="shared" si="87"/>
        <v/>
      </c>
      <c r="Z1866" s="661" t="str">
        <f t="shared" si="88"/>
        <v/>
      </c>
    </row>
    <row r="1867" spans="1:26" s="128" customFormat="1" ht="25" hidden="1">
      <c r="A1867" s="655">
        <v>62473</v>
      </c>
      <c r="B1867" s="656" t="s">
        <v>33</v>
      </c>
      <c r="C1867" s="655" t="s">
        <v>2793</v>
      </c>
      <c r="D1867" s="656" t="s">
        <v>3147</v>
      </c>
      <c r="E1867" s="656" t="s">
        <v>2852</v>
      </c>
      <c r="F1867" s="655">
        <v>61194</v>
      </c>
      <c r="G1867" s="656" t="s">
        <v>57</v>
      </c>
      <c r="H1867" s="656" t="s">
        <v>1182</v>
      </c>
      <c r="I1867" s="656" t="s">
        <v>58</v>
      </c>
      <c r="J1867" s="655">
        <v>22</v>
      </c>
      <c r="K1867" s="655">
        <v>2</v>
      </c>
      <c r="L1867" s="656" t="s">
        <v>52</v>
      </c>
      <c r="M1867" s="656" t="s">
        <v>448</v>
      </c>
      <c r="N1867" s="656" t="s">
        <v>449</v>
      </c>
      <c r="O1867" s="656" t="s">
        <v>449</v>
      </c>
      <c r="P1867" s="656" t="s">
        <v>1176</v>
      </c>
      <c r="Q1867" s="657">
        <v>0</v>
      </c>
      <c r="R1867" s="657">
        <v>0</v>
      </c>
      <c r="S1867" s="657">
        <v>31331</v>
      </c>
      <c r="T1867" s="657">
        <v>31331</v>
      </c>
      <c r="U1867" s="657">
        <v>3543</v>
      </c>
      <c r="V1867" s="655">
        <v>2021</v>
      </c>
      <c r="W1867" s="659"/>
      <c r="X1867" s="660">
        <f t="shared" si="89"/>
        <v>8.8430708439175838</v>
      </c>
      <c r="Y1867" s="661" t="str">
        <f t="shared" si="87"/>
        <v/>
      </c>
      <c r="Z1867" s="661" t="str">
        <f t="shared" si="88"/>
        <v/>
      </c>
    </row>
    <row r="1868" spans="1:26" s="128" customFormat="1" ht="25" hidden="1">
      <c r="A1868" s="655">
        <v>62474</v>
      </c>
      <c r="B1868" s="656" t="s">
        <v>33</v>
      </c>
      <c r="C1868" s="655" t="s">
        <v>2793</v>
      </c>
      <c r="D1868" s="656" t="s">
        <v>2881</v>
      </c>
      <c r="E1868" s="656" t="s">
        <v>2418</v>
      </c>
      <c r="F1868" s="655">
        <v>61610</v>
      </c>
      <c r="G1868" s="656" t="s">
        <v>57</v>
      </c>
      <c r="H1868" s="656" t="s">
        <v>1182</v>
      </c>
      <c r="I1868" s="656" t="s">
        <v>58</v>
      </c>
      <c r="J1868" s="655">
        <v>22</v>
      </c>
      <c r="K1868" s="655">
        <v>2</v>
      </c>
      <c r="L1868" s="656" t="s">
        <v>52</v>
      </c>
      <c r="M1868" s="656" t="s">
        <v>448</v>
      </c>
      <c r="N1868" s="656" t="s">
        <v>449</v>
      </c>
      <c r="O1868" s="656" t="s">
        <v>449</v>
      </c>
      <c r="P1868" s="656" t="s">
        <v>1176</v>
      </c>
      <c r="Q1868" s="657">
        <v>0</v>
      </c>
      <c r="R1868" s="657">
        <v>0</v>
      </c>
      <c r="S1868" s="657">
        <v>56012</v>
      </c>
      <c r="T1868" s="657">
        <v>56012</v>
      </c>
      <c r="U1868" s="657">
        <v>6334</v>
      </c>
      <c r="V1868" s="655">
        <v>2021</v>
      </c>
      <c r="W1868" s="659"/>
      <c r="X1868" s="660">
        <f t="shared" si="89"/>
        <v>8.8430691506157242</v>
      </c>
      <c r="Y1868" s="661" t="str">
        <f t="shared" si="87"/>
        <v/>
      </c>
      <c r="Z1868" s="661" t="str">
        <f t="shared" si="88"/>
        <v/>
      </c>
    </row>
    <row r="1869" spans="1:26" s="128" customFormat="1" ht="25" hidden="1">
      <c r="A1869" s="655">
        <v>62476</v>
      </c>
      <c r="B1869" s="656" t="s">
        <v>33</v>
      </c>
      <c r="C1869" s="655" t="s">
        <v>2793</v>
      </c>
      <c r="D1869" s="656" t="s">
        <v>3391</v>
      </c>
      <c r="E1869" s="656" t="s">
        <v>2852</v>
      </c>
      <c r="F1869" s="655">
        <v>61194</v>
      </c>
      <c r="G1869" s="656" t="s">
        <v>57</v>
      </c>
      <c r="H1869" s="656" t="s">
        <v>1182</v>
      </c>
      <c r="I1869" s="656" t="s">
        <v>58</v>
      </c>
      <c r="J1869" s="655">
        <v>22</v>
      </c>
      <c r="K1869" s="655">
        <v>2</v>
      </c>
      <c r="L1869" s="656" t="s">
        <v>52</v>
      </c>
      <c r="M1869" s="656" t="s">
        <v>448</v>
      </c>
      <c r="N1869" s="656" t="s">
        <v>449</v>
      </c>
      <c r="O1869" s="656" t="s">
        <v>449</v>
      </c>
      <c r="P1869" s="656" t="s">
        <v>1176</v>
      </c>
      <c r="Q1869" s="657">
        <v>0</v>
      </c>
      <c r="R1869" s="657">
        <v>0</v>
      </c>
      <c r="S1869" s="657">
        <v>24451</v>
      </c>
      <c r="T1869" s="657">
        <v>24451</v>
      </c>
      <c r="U1869" s="657">
        <v>2765</v>
      </c>
      <c r="V1869" s="655">
        <v>2021</v>
      </c>
      <c r="W1869" s="659"/>
      <c r="X1869" s="660">
        <f t="shared" si="89"/>
        <v>8.8430379746835435</v>
      </c>
      <c r="Y1869" s="661" t="str">
        <f t="shared" si="87"/>
        <v/>
      </c>
      <c r="Z1869" s="661" t="str">
        <f t="shared" si="88"/>
        <v/>
      </c>
    </row>
    <row r="1870" spans="1:26" s="128" customFormat="1" ht="25" hidden="1">
      <c r="A1870" s="655">
        <v>62477</v>
      </c>
      <c r="B1870" s="656" t="s">
        <v>33</v>
      </c>
      <c r="C1870" s="655" t="s">
        <v>2793</v>
      </c>
      <c r="D1870" s="656" t="s">
        <v>2882</v>
      </c>
      <c r="E1870" s="656" t="s">
        <v>2418</v>
      </c>
      <c r="F1870" s="655">
        <v>61610</v>
      </c>
      <c r="G1870" s="656" t="s">
        <v>57</v>
      </c>
      <c r="H1870" s="656" t="s">
        <v>1182</v>
      </c>
      <c r="I1870" s="656" t="s">
        <v>58</v>
      </c>
      <c r="J1870" s="655">
        <v>22</v>
      </c>
      <c r="K1870" s="655">
        <v>2</v>
      </c>
      <c r="L1870" s="656" t="s">
        <v>52</v>
      </c>
      <c r="M1870" s="656" t="s">
        <v>448</v>
      </c>
      <c r="N1870" s="656" t="s">
        <v>449</v>
      </c>
      <c r="O1870" s="656" t="s">
        <v>449</v>
      </c>
      <c r="P1870" s="656" t="s">
        <v>1176</v>
      </c>
      <c r="Q1870" s="657">
        <v>0</v>
      </c>
      <c r="R1870" s="657">
        <v>0</v>
      </c>
      <c r="S1870" s="657">
        <v>17226</v>
      </c>
      <c r="T1870" s="657">
        <v>17226</v>
      </c>
      <c r="U1870" s="657">
        <v>1948</v>
      </c>
      <c r="V1870" s="655">
        <v>2021</v>
      </c>
      <c r="W1870" s="659"/>
      <c r="X1870" s="660">
        <f t="shared" si="89"/>
        <v>8.8429158110882948</v>
      </c>
      <c r="Y1870" s="661" t="str">
        <f t="shared" si="87"/>
        <v/>
      </c>
      <c r="Z1870" s="661" t="str">
        <f t="shared" si="88"/>
        <v/>
      </c>
    </row>
    <row r="1871" spans="1:26" s="128" customFormat="1" ht="25" hidden="1">
      <c r="A1871" s="655">
        <v>62479</v>
      </c>
      <c r="B1871" s="656" t="s">
        <v>33</v>
      </c>
      <c r="C1871" s="655" t="s">
        <v>2793</v>
      </c>
      <c r="D1871" s="656" t="s">
        <v>2883</v>
      </c>
      <c r="E1871" s="656" t="s">
        <v>2418</v>
      </c>
      <c r="F1871" s="655">
        <v>61610</v>
      </c>
      <c r="G1871" s="656" t="s">
        <v>57</v>
      </c>
      <c r="H1871" s="656" t="s">
        <v>1182</v>
      </c>
      <c r="I1871" s="656" t="s">
        <v>58</v>
      </c>
      <c r="J1871" s="655">
        <v>22</v>
      </c>
      <c r="K1871" s="655">
        <v>2</v>
      </c>
      <c r="L1871" s="656" t="s">
        <v>52</v>
      </c>
      <c r="M1871" s="656" t="s">
        <v>448</v>
      </c>
      <c r="N1871" s="656" t="s">
        <v>449</v>
      </c>
      <c r="O1871" s="656" t="s">
        <v>449</v>
      </c>
      <c r="P1871" s="656" t="s">
        <v>1176</v>
      </c>
      <c r="Q1871" s="657">
        <v>0</v>
      </c>
      <c r="R1871" s="657">
        <v>0</v>
      </c>
      <c r="S1871" s="657">
        <v>26317</v>
      </c>
      <c r="T1871" s="657">
        <v>26317</v>
      </c>
      <c r="U1871" s="657">
        <v>2976</v>
      </c>
      <c r="V1871" s="655">
        <v>2021</v>
      </c>
      <c r="W1871" s="659"/>
      <c r="X1871" s="660">
        <f t="shared" si="89"/>
        <v>8.8430779569892479</v>
      </c>
      <c r="Y1871" s="661" t="str">
        <f t="shared" si="87"/>
        <v/>
      </c>
      <c r="Z1871" s="661" t="str">
        <f t="shared" si="88"/>
        <v/>
      </c>
    </row>
    <row r="1872" spans="1:26" s="128" customFormat="1" ht="25" hidden="1">
      <c r="A1872" s="655">
        <v>62480</v>
      </c>
      <c r="B1872" s="656" t="s">
        <v>33</v>
      </c>
      <c r="C1872" s="655" t="s">
        <v>2793</v>
      </c>
      <c r="D1872" s="656" t="s">
        <v>3148</v>
      </c>
      <c r="E1872" s="656" t="s">
        <v>2852</v>
      </c>
      <c r="F1872" s="655">
        <v>61194</v>
      </c>
      <c r="G1872" s="656" t="s">
        <v>57</v>
      </c>
      <c r="H1872" s="656" t="s">
        <v>1182</v>
      </c>
      <c r="I1872" s="656" t="s">
        <v>58</v>
      </c>
      <c r="J1872" s="655">
        <v>22</v>
      </c>
      <c r="K1872" s="655">
        <v>2</v>
      </c>
      <c r="L1872" s="656" t="s">
        <v>52</v>
      </c>
      <c r="M1872" s="656" t="s">
        <v>448</v>
      </c>
      <c r="N1872" s="656" t="s">
        <v>449</v>
      </c>
      <c r="O1872" s="656" t="s">
        <v>449</v>
      </c>
      <c r="P1872" s="656" t="s">
        <v>1176</v>
      </c>
      <c r="Q1872" s="657">
        <v>0</v>
      </c>
      <c r="R1872" s="657">
        <v>0</v>
      </c>
      <c r="S1872" s="657">
        <v>28262</v>
      </c>
      <c r="T1872" s="657">
        <v>28262</v>
      </c>
      <c r="U1872" s="657">
        <v>3196</v>
      </c>
      <c r="V1872" s="655">
        <v>2021</v>
      </c>
      <c r="W1872" s="659"/>
      <c r="X1872" s="660">
        <f t="shared" si="89"/>
        <v>8.8429286608260327</v>
      </c>
      <c r="Y1872" s="661" t="str">
        <f t="shared" si="87"/>
        <v/>
      </c>
      <c r="Z1872" s="661" t="str">
        <f t="shared" si="88"/>
        <v/>
      </c>
    </row>
    <row r="1873" spans="1:26" s="128" customFormat="1" hidden="1">
      <c r="A1873" s="655">
        <v>62486</v>
      </c>
      <c r="B1873" s="656" t="s">
        <v>33</v>
      </c>
      <c r="C1873" s="655" t="s">
        <v>2793</v>
      </c>
      <c r="D1873" s="656" t="s">
        <v>2884</v>
      </c>
      <c r="E1873" s="656" t="s">
        <v>2885</v>
      </c>
      <c r="F1873" s="655">
        <v>62003</v>
      </c>
      <c r="G1873" s="656" t="s">
        <v>57</v>
      </c>
      <c r="H1873" s="656" t="s">
        <v>1182</v>
      </c>
      <c r="I1873" s="656" t="s">
        <v>58</v>
      </c>
      <c r="J1873" s="655">
        <v>22</v>
      </c>
      <c r="K1873" s="655">
        <v>2</v>
      </c>
      <c r="L1873" s="656" t="s">
        <v>52</v>
      </c>
      <c r="M1873" s="656" t="s">
        <v>448</v>
      </c>
      <c r="N1873" s="656" t="s">
        <v>449</v>
      </c>
      <c r="O1873" s="656" t="s">
        <v>449</v>
      </c>
      <c r="P1873" s="656" t="s">
        <v>1176</v>
      </c>
      <c r="Q1873" s="657">
        <v>0</v>
      </c>
      <c r="R1873" s="657">
        <v>0</v>
      </c>
      <c r="S1873" s="657">
        <v>31474</v>
      </c>
      <c r="T1873" s="657">
        <v>31474</v>
      </c>
      <c r="U1873" s="657">
        <v>3559</v>
      </c>
      <c r="V1873" s="655">
        <v>2021</v>
      </c>
      <c r="W1873" s="659"/>
      <c r="X1873" s="660">
        <f t="shared" si="89"/>
        <v>8.8434953638662552</v>
      </c>
      <c r="Y1873" s="661" t="str">
        <f t="shared" si="87"/>
        <v/>
      </c>
      <c r="Z1873" s="661" t="str">
        <f t="shared" si="88"/>
        <v/>
      </c>
    </row>
    <row r="1874" spans="1:26" s="128" customFormat="1" ht="25" hidden="1">
      <c r="A1874" s="655">
        <v>62496</v>
      </c>
      <c r="B1874" s="656" t="s">
        <v>33</v>
      </c>
      <c r="C1874" s="655" t="s">
        <v>2793</v>
      </c>
      <c r="D1874" s="656" t="s">
        <v>3392</v>
      </c>
      <c r="E1874" s="656" t="s">
        <v>2852</v>
      </c>
      <c r="F1874" s="655">
        <v>61194</v>
      </c>
      <c r="G1874" s="656" t="s">
        <v>57</v>
      </c>
      <c r="H1874" s="656" t="s">
        <v>1182</v>
      </c>
      <c r="I1874" s="656" t="s">
        <v>58</v>
      </c>
      <c r="J1874" s="655">
        <v>22</v>
      </c>
      <c r="K1874" s="655">
        <v>2</v>
      </c>
      <c r="L1874" s="656" t="s">
        <v>52</v>
      </c>
      <c r="M1874" s="656" t="s">
        <v>448</v>
      </c>
      <c r="N1874" s="656" t="s">
        <v>449</v>
      </c>
      <c r="O1874" s="656" t="s">
        <v>449</v>
      </c>
      <c r="P1874" s="656" t="s">
        <v>1176</v>
      </c>
      <c r="Q1874" s="657">
        <v>0</v>
      </c>
      <c r="R1874" s="657">
        <v>0</v>
      </c>
      <c r="S1874" s="657">
        <v>0</v>
      </c>
      <c r="T1874" s="657">
        <v>0</v>
      </c>
      <c r="U1874" s="657">
        <v>0</v>
      </c>
      <c r="V1874" s="655">
        <v>2021</v>
      </c>
      <c r="W1874" s="659"/>
      <c r="X1874" s="660" t="str">
        <f t="shared" si="89"/>
        <v/>
      </c>
      <c r="Y1874" s="661" t="str">
        <f t="shared" si="87"/>
        <v/>
      </c>
      <c r="Z1874" s="661" t="str">
        <f t="shared" si="88"/>
        <v/>
      </c>
    </row>
    <row r="1875" spans="1:26" s="128" customFormat="1" ht="25" hidden="1">
      <c r="A1875" s="655">
        <v>62498</v>
      </c>
      <c r="B1875" s="656" t="s">
        <v>33</v>
      </c>
      <c r="C1875" s="655" t="s">
        <v>2793</v>
      </c>
      <c r="D1875" s="656" t="s">
        <v>3393</v>
      </c>
      <c r="E1875" s="656" t="s">
        <v>2852</v>
      </c>
      <c r="F1875" s="655">
        <v>61194</v>
      </c>
      <c r="G1875" s="656" t="s">
        <v>57</v>
      </c>
      <c r="H1875" s="656" t="s">
        <v>1182</v>
      </c>
      <c r="I1875" s="656" t="s">
        <v>58</v>
      </c>
      <c r="J1875" s="655">
        <v>22</v>
      </c>
      <c r="K1875" s="655">
        <v>2</v>
      </c>
      <c r="L1875" s="656" t="s">
        <v>52</v>
      </c>
      <c r="M1875" s="656" t="s">
        <v>448</v>
      </c>
      <c r="N1875" s="656" t="s">
        <v>449</v>
      </c>
      <c r="O1875" s="656" t="s">
        <v>449</v>
      </c>
      <c r="P1875" s="656" t="s">
        <v>1176</v>
      </c>
      <c r="Q1875" s="657">
        <v>0</v>
      </c>
      <c r="R1875" s="657">
        <v>0</v>
      </c>
      <c r="S1875" s="657">
        <v>0</v>
      </c>
      <c r="T1875" s="657">
        <v>0</v>
      </c>
      <c r="U1875" s="657">
        <v>0</v>
      </c>
      <c r="V1875" s="655">
        <v>2021</v>
      </c>
      <c r="W1875" s="659"/>
      <c r="X1875" s="660" t="str">
        <f t="shared" si="89"/>
        <v/>
      </c>
      <c r="Y1875" s="661" t="str">
        <f t="shared" si="87"/>
        <v/>
      </c>
      <c r="Z1875" s="661" t="str">
        <f t="shared" si="88"/>
        <v/>
      </c>
    </row>
    <row r="1876" spans="1:26" s="128" customFormat="1">
      <c r="A1876" s="655">
        <v>62503</v>
      </c>
      <c r="B1876" s="656" t="s">
        <v>33</v>
      </c>
      <c r="C1876" s="655" t="s">
        <v>2793</v>
      </c>
      <c r="D1876" s="656" t="s">
        <v>2478</v>
      </c>
      <c r="E1876" s="656" t="s">
        <v>2036</v>
      </c>
      <c r="F1876" s="655">
        <v>60584</v>
      </c>
      <c r="G1876" s="656" t="s">
        <v>81</v>
      </c>
      <c r="H1876" s="656" t="s">
        <v>1183</v>
      </c>
      <c r="I1876" s="656" t="s">
        <v>58</v>
      </c>
      <c r="J1876" s="655">
        <v>22</v>
      </c>
      <c r="K1876" s="655">
        <v>2</v>
      </c>
      <c r="L1876" s="656" t="s">
        <v>52</v>
      </c>
      <c r="M1876" s="656" t="s">
        <v>448</v>
      </c>
      <c r="N1876" s="656" t="s">
        <v>449</v>
      </c>
      <c r="O1876" s="656" t="s">
        <v>449</v>
      </c>
      <c r="P1876" s="656" t="s">
        <v>1176</v>
      </c>
      <c r="Q1876" s="657">
        <v>0</v>
      </c>
      <c r="R1876" s="657">
        <v>0</v>
      </c>
      <c r="S1876" s="657">
        <v>26315</v>
      </c>
      <c r="T1876" s="657">
        <v>26315</v>
      </c>
      <c r="U1876" s="657">
        <v>2976</v>
      </c>
      <c r="V1876" s="655">
        <v>2021</v>
      </c>
      <c r="W1876" s="659"/>
      <c r="X1876" s="660">
        <f t="shared" si="89"/>
        <v>8.8424059139784941</v>
      </c>
      <c r="Y1876" s="661" t="str">
        <f t="shared" si="87"/>
        <v/>
      </c>
      <c r="Z1876" s="661" t="str">
        <f t="shared" si="88"/>
        <v/>
      </c>
    </row>
    <row r="1877" spans="1:26" s="128" customFormat="1" ht="25" hidden="1">
      <c r="A1877" s="655">
        <v>62504</v>
      </c>
      <c r="B1877" s="656" t="s">
        <v>33</v>
      </c>
      <c r="C1877" s="655" t="s">
        <v>2793</v>
      </c>
      <c r="D1877" s="656" t="s">
        <v>3149</v>
      </c>
      <c r="E1877" s="656" t="s">
        <v>3150</v>
      </c>
      <c r="F1877" s="655">
        <v>63244</v>
      </c>
      <c r="G1877" s="656" t="s">
        <v>57</v>
      </c>
      <c r="H1877" s="656" t="s">
        <v>1182</v>
      </c>
      <c r="I1877" s="656" t="s">
        <v>58</v>
      </c>
      <c r="J1877" s="655">
        <v>22</v>
      </c>
      <c r="K1877" s="655">
        <v>2</v>
      </c>
      <c r="L1877" s="656" t="s">
        <v>52</v>
      </c>
      <c r="M1877" s="656" t="s">
        <v>448</v>
      </c>
      <c r="N1877" s="656" t="s">
        <v>449</v>
      </c>
      <c r="O1877" s="656" t="s">
        <v>449</v>
      </c>
      <c r="P1877" s="656" t="s">
        <v>1176</v>
      </c>
      <c r="Q1877" s="657">
        <v>0</v>
      </c>
      <c r="R1877" s="657">
        <v>0</v>
      </c>
      <c r="S1877" s="657">
        <v>20649</v>
      </c>
      <c r="T1877" s="657">
        <v>20649</v>
      </c>
      <c r="U1877" s="657">
        <v>2335</v>
      </c>
      <c r="V1877" s="655">
        <v>2021</v>
      </c>
      <c r="W1877" s="659"/>
      <c r="X1877" s="660">
        <f t="shared" si="89"/>
        <v>8.8432548179871517</v>
      </c>
      <c r="Y1877" s="661" t="str">
        <f t="shared" si="87"/>
        <v/>
      </c>
      <c r="Z1877" s="661" t="str">
        <f t="shared" si="88"/>
        <v/>
      </c>
    </row>
    <row r="1878" spans="1:26" s="128" customFormat="1" ht="25" hidden="1">
      <c r="A1878" s="655">
        <v>62507</v>
      </c>
      <c r="B1878" s="656" t="s">
        <v>33</v>
      </c>
      <c r="C1878" s="655" t="s">
        <v>2793</v>
      </c>
      <c r="D1878" s="656" t="s">
        <v>3151</v>
      </c>
      <c r="E1878" s="656" t="s">
        <v>3150</v>
      </c>
      <c r="F1878" s="655">
        <v>63244</v>
      </c>
      <c r="G1878" s="656" t="s">
        <v>57</v>
      </c>
      <c r="H1878" s="656" t="s">
        <v>1182</v>
      </c>
      <c r="I1878" s="656" t="s">
        <v>58</v>
      </c>
      <c r="J1878" s="655">
        <v>22</v>
      </c>
      <c r="K1878" s="655">
        <v>2</v>
      </c>
      <c r="L1878" s="656" t="s">
        <v>52</v>
      </c>
      <c r="M1878" s="656" t="s">
        <v>448</v>
      </c>
      <c r="N1878" s="656" t="s">
        <v>449</v>
      </c>
      <c r="O1878" s="656" t="s">
        <v>449</v>
      </c>
      <c r="P1878" s="656" t="s">
        <v>1176</v>
      </c>
      <c r="Q1878" s="657">
        <v>0</v>
      </c>
      <c r="R1878" s="657">
        <v>0</v>
      </c>
      <c r="S1878" s="657">
        <v>51043</v>
      </c>
      <c r="T1878" s="657">
        <v>51043</v>
      </c>
      <c r="U1878" s="657">
        <v>5772</v>
      </c>
      <c r="V1878" s="655">
        <v>2021</v>
      </c>
      <c r="W1878" s="659"/>
      <c r="X1878" s="660">
        <f t="shared" si="89"/>
        <v>8.843208593208594</v>
      </c>
      <c r="Y1878" s="661" t="str">
        <f t="shared" si="87"/>
        <v/>
      </c>
      <c r="Z1878" s="661" t="str">
        <f t="shared" si="88"/>
        <v/>
      </c>
    </row>
    <row r="1879" spans="1:26" s="128" customFormat="1" ht="25" hidden="1">
      <c r="A1879" s="655">
        <v>62508</v>
      </c>
      <c r="B1879" s="656" t="s">
        <v>33</v>
      </c>
      <c r="C1879" s="655" t="s">
        <v>2793</v>
      </c>
      <c r="D1879" s="656" t="s">
        <v>3152</v>
      </c>
      <c r="E1879" s="656" t="s">
        <v>3150</v>
      </c>
      <c r="F1879" s="655">
        <v>63244</v>
      </c>
      <c r="G1879" s="656" t="s">
        <v>57</v>
      </c>
      <c r="H1879" s="656" t="s">
        <v>1182</v>
      </c>
      <c r="I1879" s="656" t="s">
        <v>58</v>
      </c>
      <c r="J1879" s="655">
        <v>22</v>
      </c>
      <c r="K1879" s="655">
        <v>2</v>
      </c>
      <c r="L1879" s="656" t="s">
        <v>52</v>
      </c>
      <c r="M1879" s="656" t="s">
        <v>448</v>
      </c>
      <c r="N1879" s="656" t="s">
        <v>449</v>
      </c>
      <c r="O1879" s="656" t="s">
        <v>449</v>
      </c>
      <c r="P1879" s="656" t="s">
        <v>1176</v>
      </c>
      <c r="Q1879" s="657">
        <v>0</v>
      </c>
      <c r="R1879" s="657">
        <v>0</v>
      </c>
      <c r="S1879" s="657">
        <v>40031</v>
      </c>
      <c r="T1879" s="657">
        <v>40031</v>
      </c>
      <c r="U1879" s="657">
        <v>4527</v>
      </c>
      <c r="V1879" s="655">
        <v>2021</v>
      </c>
      <c r="W1879" s="659"/>
      <c r="X1879" s="660">
        <f t="shared" si="89"/>
        <v>8.8427214490832782</v>
      </c>
      <c r="Y1879" s="661" t="str">
        <f t="shared" si="87"/>
        <v/>
      </c>
      <c r="Z1879" s="661" t="str">
        <f t="shared" si="88"/>
        <v/>
      </c>
    </row>
    <row r="1880" spans="1:26" s="128" customFormat="1" ht="25" hidden="1">
      <c r="A1880" s="655">
        <v>62521</v>
      </c>
      <c r="B1880" s="656" t="s">
        <v>33</v>
      </c>
      <c r="C1880" s="655" t="s">
        <v>2793</v>
      </c>
      <c r="D1880" s="656" t="s">
        <v>3153</v>
      </c>
      <c r="E1880" s="656" t="s">
        <v>3150</v>
      </c>
      <c r="F1880" s="655">
        <v>63244</v>
      </c>
      <c r="G1880" s="656" t="s">
        <v>57</v>
      </c>
      <c r="H1880" s="656" t="s">
        <v>1182</v>
      </c>
      <c r="I1880" s="656" t="s">
        <v>58</v>
      </c>
      <c r="J1880" s="655">
        <v>22</v>
      </c>
      <c r="K1880" s="655">
        <v>2</v>
      </c>
      <c r="L1880" s="656" t="s">
        <v>52</v>
      </c>
      <c r="M1880" s="656" t="s">
        <v>448</v>
      </c>
      <c r="N1880" s="656" t="s">
        <v>449</v>
      </c>
      <c r="O1880" s="656" t="s">
        <v>449</v>
      </c>
      <c r="P1880" s="656" t="s">
        <v>1176</v>
      </c>
      <c r="Q1880" s="657">
        <v>0</v>
      </c>
      <c r="R1880" s="657">
        <v>0</v>
      </c>
      <c r="S1880" s="657">
        <v>17120</v>
      </c>
      <c r="T1880" s="657">
        <v>17120</v>
      </c>
      <c r="U1880" s="657">
        <v>1936</v>
      </c>
      <c r="V1880" s="655">
        <v>2021</v>
      </c>
      <c r="W1880" s="659"/>
      <c r="X1880" s="660">
        <f t="shared" si="89"/>
        <v>8.8429752066115697</v>
      </c>
      <c r="Y1880" s="661" t="str">
        <f t="shared" si="87"/>
        <v/>
      </c>
      <c r="Z1880" s="661" t="str">
        <f t="shared" si="88"/>
        <v/>
      </c>
    </row>
    <row r="1881" spans="1:26" s="128" customFormat="1" ht="25" hidden="1">
      <c r="A1881" s="655">
        <v>62524</v>
      </c>
      <c r="B1881" s="656" t="s">
        <v>33</v>
      </c>
      <c r="C1881" s="655" t="s">
        <v>2793</v>
      </c>
      <c r="D1881" s="656" t="s">
        <v>3394</v>
      </c>
      <c r="E1881" s="656" t="s">
        <v>3150</v>
      </c>
      <c r="F1881" s="655">
        <v>63244</v>
      </c>
      <c r="G1881" s="656" t="s">
        <v>57</v>
      </c>
      <c r="H1881" s="656" t="s">
        <v>1182</v>
      </c>
      <c r="I1881" s="656" t="s">
        <v>58</v>
      </c>
      <c r="J1881" s="655">
        <v>22</v>
      </c>
      <c r="K1881" s="655">
        <v>2</v>
      </c>
      <c r="L1881" s="656" t="s">
        <v>52</v>
      </c>
      <c r="M1881" s="656" t="s">
        <v>448</v>
      </c>
      <c r="N1881" s="656" t="s">
        <v>449</v>
      </c>
      <c r="O1881" s="656" t="s">
        <v>449</v>
      </c>
      <c r="P1881" s="656" t="s">
        <v>1176</v>
      </c>
      <c r="Q1881" s="657">
        <v>0</v>
      </c>
      <c r="R1881" s="657">
        <v>0</v>
      </c>
      <c r="S1881" s="657">
        <v>3148</v>
      </c>
      <c r="T1881" s="657">
        <v>3148</v>
      </c>
      <c r="U1881" s="657">
        <v>356</v>
      </c>
      <c r="V1881" s="655">
        <v>2021</v>
      </c>
      <c r="W1881" s="659"/>
      <c r="X1881" s="660">
        <f t="shared" si="89"/>
        <v>8.8426966292134832</v>
      </c>
      <c r="Y1881" s="661" t="str">
        <f t="shared" si="87"/>
        <v/>
      </c>
      <c r="Z1881" s="661" t="str">
        <f t="shared" si="88"/>
        <v/>
      </c>
    </row>
    <row r="1882" spans="1:26" s="128" customFormat="1" hidden="1">
      <c r="A1882" s="655">
        <v>62525</v>
      </c>
      <c r="B1882" s="656" t="s">
        <v>33</v>
      </c>
      <c r="C1882" s="655" t="s">
        <v>2793</v>
      </c>
      <c r="D1882" s="656" t="s">
        <v>3154</v>
      </c>
      <c r="E1882" s="656" t="s">
        <v>2852</v>
      </c>
      <c r="F1882" s="655">
        <v>61194</v>
      </c>
      <c r="G1882" s="656" t="s">
        <v>57</v>
      </c>
      <c r="H1882" s="656" t="s">
        <v>1182</v>
      </c>
      <c r="I1882" s="656" t="s">
        <v>58</v>
      </c>
      <c r="J1882" s="655">
        <v>22</v>
      </c>
      <c r="K1882" s="655">
        <v>2</v>
      </c>
      <c r="L1882" s="656" t="s">
        <v>52</v>
      </c>
      <c r="M1882" s="656" t="s">
        <v>448</v>
      </c>
      <c r="N1882" s="656" t="s">
        <v>449</v>
      </c>
      <c r="O1882" s="656" t="s">
        <v>449</v>
      </c>
      <c r="P1882" s="656" t="s">
        <v>1176</v>
      </c>
      <c r="Q1882" s="657">
        <v>0</v>
      </c>
      <c r="R1882" s="657">
        <v>0</v>
      </c>
      <c r="S1882" s="657">
        <v>22612</v>
      </c>
      <c r="T1882" s="657">
        <v>22612</v>
      </c>
      <c r="U1882" s="657">
        <v>2557</v>
      </c>
      <c r="V1882" s="655">
        <v>2021</v>
      </c>
      <c r="W1882" s="659"/>
      <c r="X1882" s="660">
        <f t="shared" si="89"/>
        <v>8.843175596402034</v>
      </c>
      <c r="Y1882" s="661" t="str">
        <f t="shared" si="87"/>
        <v/>
      </c>
      <c r="Z1882" s="661" t="str">
        <f t="shared" si="88"/>
        <v/>
      </c>
    </row>
    <row r="1883" spans="1:26" s="128" customFormat="1" hidden="1">
      <c r="A1883" s="655">
        <v>62526</v>
      </c>
      <c r="B1883" s="656" t="s">
        <v>33</v>
      </c>
      <c r="C1883" s="655" t="s">
        <v>2793</v>
      </c>
      <c r="D1883" s="656" t="s">
        <v>3155</v>
      </c>
      <c r="E1883" s="656" t="s">
        <v>2852</v>
      </c>
      <c r="F1883" s="655">
        <v>61194</v>
      </c>
      <c r="G1883" s="656" t="s">
        <v>57</v>
      </c>
      <c r="H1883" s="656" t="s">
        <v>1182</v>
      </c>
      <c r="I1883" s="656" t="s">
        <v>58</v>
      </c>
      <c r="J1883" s="655">
        <v>22</v>
      </c>
      <c r="K1883" s="655">
        <v>2</v>
      </c>
      <c r="L1883" s="656" t="s">
        <v>52</v>
      </c>
      <c r="M1883" s="656" t="s">
        <v>448</v>
      </c>
      <c r="N1883" s="656" t="s">
        <v>449</v>
      </c>
      <c r="O1883" s="656" t="s">
        <v>449</v>
      </c>
      <c r="P1883" s="656" t="s">
        <v>1176</v>
      </c>
      <c r="Q1883" s="657">
        <v>0</v>
      </c>
      <c r="R1883" s="657">
        <v>0</v>
      </c>
      <c r="S1883" s="657">
        <v>24486</v>
      </c>
      <c r="T1883" s="657">
        <v>24486</v>
      </c>
      <c r="U1883" s="657">
        <v>2769</v>
      </c>
      <c r="V1883" s="655">
        <v>2021</v>
      </c>
      <c r="W1883" s="659"/>
      <c r="X1883" s="660">
        <f t="shared" si="89"/>
        <v>8.8429035752979424</v>
      </c>
      <c r="Y1883" s="661" t="str">
        <f t="shared" si="87"/>
        <v/>
      </c>
      <c r="Z1883" s="661" t="str">
        <f t="shared" si="88"/>
        <v/>
      </c>
    </row>
    <row r="1884" spans="1:26" s="128" customFormat="1" hidden="1">
      <c r="A1884" s="655">
        <v>62527</v>
      </c>
      <c r="B1884" s="656" t="s">
        <v>33</v>
      </c>
      <c r="C1884" s="655" t="s">
        <v>2793</v>
      </c>
      <c r="D1884" s="656" t="s">
        <v>2886</v>
      </c>
      <c r="E1884" s="656" t="s">
        <v>2418</v>
      </c>
      <c r="F1884" s="655">
        <v>61610</v>
      </c>
      <c r="G1884" s="656" t="s">
        <v>57</v>
      </c>
      <c r="H1884" s="656" t="s">
        <v>1182</v>
      </c>
      <c r="I1884" s="656" t="s">
        <v>58</v>
      </c>
      <c r="J1884" s="655">
        <v>22</v>
      </c>
      <c r="K1884" s="655">
        <v>2</v>
      </c>
      <c r="L1884" s="656" t="s">
        <v>52</v>
      </c>
      <c r="M1884" s="656" t="s">
        <v>448</v>
      </c>
      <c r="N1884" s="656" t="s">
        <v>449</v>
      </c>
      <c r="O1884" s="656" t="s">
        <v>449</v>
      </c>
      <c r="P1884" s="656" t="s">
        <v>1176</v>
      </c>
      <c r="Q1884" s="657">
        <v>0</v>
      </c>
      <c r="R1884" s="657">
        <v>0</v>
      </c>
      <c r="S1884" s="657">
        <v>22294</v>
      </c>
      <c r="T1884" s="657">
        <v>22294</v>
      </c>
      <c r="U1884" s="657">
        <v>2521</v>
      </c>
      <c r="V1884" s="655">
        <v>2021</v>
      </c>
      <c r="W1884" s="659"/>
      <c r="X1884" s="660">
        <f t="shared" si="89"/>
        <v>8.8433161443871473</v>
      </c>
      <c r="Y1884" s="661" t="str">
        <f t="shared" si="87"/>
        <v/>
      </c>
      <c r="Z1884" s="661" t="str">
        <f t="shared" si="88"/>
        <v/>
      </c>
    </row>
    <row r="1885" spans="1:26" s="128" customFormat="1" hidden="1">
      <c r="A1885" s="655">
        <v>62528</v>
      </c>
      <c r="B1885" s="656" t="s">
        <v>33</v>
      </c>
      <c r="C1885" s="655" t="s">
        <v>2793</v>
      </c>
      <c r="D1885" s="656" t="s">
        <v>2887</v>
      </c>
      <c r="E1885" s="656" t="s">
        <v>2418</v>
      </c>
      <c r="F1885" s="655">
        <v>61610</v>
      </c>
      <c r="G1885" s="656" t="s">
        <v>57</v>
      </c>
      <c r="H1885" s="656" t="s">
        <v>1182</v>
      </c>
      <c r="I1885" s="656" t="s">
        <v>58</v>
      </c>
      <c r="J1885" s="655">
        <v>22</v>
      </c>
      <c r="K1885" s="655">
        <v>2</v>
      </c>
      <c r="L1885" s="656" t="s">
        <v>52</v>
      </c>
      <c r="M1885" s="656" t="s">
        <v>448</v>
      </c>
      <c r="N1885" s="656" t="s">
        <v>449</v>
      </c>
      <c r="O1885" s="656" t="s">
        <v>449</v>
      </c>
      <c r="P1885" s="656" t="s">
        <v>1176</v>
      </c>
      <c r="Q1885" s="657">
        <v>0</v>
      </c>
      <c r="R1885" s="657">
        <v>0</v>
      </c>
      <c r="S1885" s="657">
        <v>25361</v>
      </c>
      <c r="T1885" s="657">
        <v>25361</v>
      </c>
      <c r="U1885" s="657">
        <v>2868</v>
      </c>
      <c r="V1885" s="655">
        <v>2021</v>
      </c>
      <c r="W1885" s="659"/>
      <c r="X1885" s="660">
        <f t="shared" si="89"/>
        <v>8.8427475592747555</v>
      </c>
      <c r="Y1885" s="661" t="str">
        <f t="shared" si="87"/>
        <v/>
      </c>
      <c r="Z1885" s="661" t="str">
        <f t="shared" si="88"/>
        <v/>
      </c>
    </row>
    <row r="1886" spans="1:26" s="128" customFormat="1" ht="25" hidden="1">
      <c r="A1886" s="655">
        <v>62530</v>
      </c>
      <c r="B1886" s="656" t="s">
        <v>33</v>
      </c>
      <c r="C1886" s="655" t="s">
        <v>2793</v>
      </c>
      <c r="D1886" s="656" t="s">
        <v>2888</v>
      </c>
      <c r="E1886" s="656" t="s">
        <v>2889</v>
      </c>
      <c r="F1886" s="655">
        <v>62630</v>
      </c>
      <c r="G1886" s="656" t="s">
        <v>57</v>
      </c>
      <c r="H1886" s="656" t="s">
        <v>1182</v>
      </c>
      <c r="I1886" s="656" t="s">
        <v>58</v>
      </c>
      <c r="J1886" s="655">
        <v>22</v>
      </c>
      <c r="K1886" s="655">
        <v>2</v>
      </c>
      <c r="L1886" s="656" t="s">
        <v>52</v>
      </c>
      <c r="M1886" s="656" t="s">
        <v>448</v>
      </c>
      <c r="N1886" s="656" t="s">
        <v>449</v>
      </c>
      <c r="O1886" s="656" t="s">
        <v>449</v>
      </c>
      <c r="P1886" s="656" t="s">
        <v>1176</v>
      </c>
      <c r="Q1886" s="657">
        <v>0</v>
      </c>
      <c r="R1886" s="657">
        <v>0</v>
      </c>
      <c r="S1886" s="657">
        <v>27819</v>
      </c>
      <c r="T1886" s="657">
        <v>27819</v>
      </c>
      <c r="U1886" s="657">
        <v>3146</v>
      </c>
      <c r="V1886" s="655">
        <v>2021</v>
      </c>
      <c r="W1886" s="659"/>
      <c r="X1886" s="660">
        <f t="shared" si="89"/>
        <v>8.8426573426573434</v>
      </c>
      <c r="Y1886" s="661" t="str">
        <f t="shared" si="87"/>
        <v/>
      </c>
      <c r="Z1886" s="661" t="str">
        <f t="shared" si="88"/>
        <v/>
      </c>
    </row>
    <row r="1887" spans="1:26" s="128" customFormat="1" ht="25" hidden="1">
      <c r="A1887" s="655">
        <v>62531</v>
      </c>
      <c r="B1887" s="656" t="s">
        <v>33</v>
      </c>
      <c r="C1887" s="655" t="s">
        <v>2793</v>
      </c>
      <c r="D1887" s="656" t="s">
        <v>2890</v>
      </c>
      <c r="E1887" s="656" t="s">
        <v>2891</v>
      </c>
      <c r="F1887" s="655">
        <v>62631</v>
      </c>
      <c r="G1887" s="656" t="s">
        <v>57</v>
      </c>
      <c r="H1887" s="656" t="s">
        <v>1182</v>
      </c>
      <c r="I1887" s="656" t="s">
        <v>58</v>
      </c>
      <c r="J1887" s="655">
        <v>22</v>
      </c>
      <c r="K1887" s="655">
        <v>2</v>
      </c>
      <c r="L1887" s="656" t="s">
        <v>52</v>
      </c>
      <c r="M1887" s="656" t="s">
        <v>448</v>
      </c>
      <c r="N1887" s="656" t="s">
        <v>449</v>
      </c>
      <c r="O1887" s="656" t="s">
        <v>449</v>
      </c>
      <c r="P1887" s="656" t="s">
        <v>1176</v>
      </c>
      <c r="Q1887" s="657">
        <v>0</v>
      </c>
      <c r="R1887" s="657">
        <v>0</v>
      </c>
      <c r="S1887" s="657">
        <v>28026</v>
      </c>
      <c r="T1887" s="657">
        <v>28026</v>
      </c>
      <c r="U1887" s="657">
        <v>3169</v>
      </c>
      <c r="V1887" s="655">
        <v>2021</v>
      </c>
      <c r="W1887" s="659"/>
      <c r="X1887" s="660">
        <f t="shared" si="89"/>
        <v>8.8437993057746915</v>
      </c>
      <c r="Y1887" s="661" t="str">
        <f t="shared" si="87"/>
        <v/>
      </c>
      <c r="Z1887" s="661" t="str">
        <f t="shared" si="88"/>
        <v/>
      </c>
    </row>
    <row r="1888" spans="1:26" s="128" customFormat="1" ht="25" hidden="1">
      <c r="A1888" s="655">
        <v>62532</v>
      </c>
      <c r="B1888" s="656" t="s">
        <v>33</v>
      </c>
      <c r="C1888" s="655" t="s">
        <v>2793</v>
      </c>
      <c r="D1888" s="656" t="s">
        <v>2892</v>
      </c>
      <c r="E1888" s="656" t="s">
        <v>2893</v>
      </c>
      <c r="F1888" s="655">
        <v>62632</v>
      </c>
      <c r="G1888" s="656" t="s">
        <v>57</v>
      </c>
      <c r="H1888" s="656" t="s">
        <v>1182</v>
      </c>
      <c r="I1888" s="656" t="s">
        <v>58</v>
      </c>
      <c r="J1888" s="655">
        <v>22</v>
      </c>
      <c r="K1888" s="655">
        <v>2</v>
      </c>
      <c r="L1888" s="656" t="s">
        <v>52</v>
      </c>
      <c r="M1888" s="656" t="s">
        <v>448</v>
      </c>
      <c r="N1888" s="656" t="s">
        <v>449</v>
      </c>
      <c r="O1888" s="656" t="s">
        <v>449</v>
      </c>
      <c r="P1888" s="656" t="s">
        <v>1176</v>
      </c>
      <c r="Q1888" s="657">
        <v>0</v>
      </c>
      <c r="R1888" s="657">
        <v>0</v>
      </c>
      <c r="S1888" s="657">
        <v>27705</v>
      </c>
      <c r="T1888" s="657">
        <v>27705</v>
      </c>
      <c r="U1888" s="657">
        <v>3133</v>
      </c>
      <c r="V1888" s="655">
        <v>2021</v>
      </c>
      <c r="W1888" s="659"/>
      <c r="X1888" s="660">
        <f t="shared" si="89"/>
        <v>8.8429620172358767</v>
      </c>
      <c r="Y1888" s="661" t="str">
        <f t="shared" si="87"/>
        <v/>
      </c>
      <c r="Z1888" s="661" t="str">
        <f t="shared" si="88"/>
        <v/>
      </c>
    </row>
    <row r="1889" spans="1:26" s="128" customFormat="1" ht="25" hidden="1">
      <c r="A1889" s="655">
        <v>62533</v>
      </c>
      <c r="B1889" s="656" t="s">
        <v>33</v>
      </c>
      <c r="C1889" s="655" t="s">
        <v>2793</v>
      </c>
      <c r="D1889" s="656" t="s">
        <v>3156</v>
      </c>
      <c r="E1889" s="656" t="s">
        <v>2852</v>
      </c>
      <c r="F1889" s="655">
        <v>61194</v>
      </c>
      <c r="G1889" s="656" t="s">
        <v>57</v>
      </c>
      <c r="H1889" s="656" t="s">
        <v>1182</v>
      </c>
      <c r="I1889" s="656" t="s">
        <v>58</v>
      </c>
      <c r="J1889" s="655">
        <v>22</v>
      </c>
      <c r="K1889" s="655">
        <v>2</v>
      </c>
      <c r="L1889" s="656" t="s">
        <v>52</v>
      </c>
      <c r="M1889" s="656" t="s">
        <v>448</v>
      </c>
      <c r="N1889" s="656" t="s">
        <v>449</v>
      </c>
      <c r="O1889" s="656" t="s">
        <v>449</v>
      </c>
      <c r="P1889" s="656" t="s">
        <v>1176</v>
      </c>
      <c r="Q1889" s="657">
        <v>0</v>
      </c>
      <c r="R1889" s="657">
        <v>0</v>
      </c>
      <c r="S1889" s="657">
        <v>25388</v>
      </c>
      <c r="T1889" s="657">
        <v>25388</v>
      </c>
      <c r="U1889" s="657">
        <v>2871</v>
      </c>
      <c r="V1889" s="655">
        <v>2021</v>
      </c>
      <c r="W1889" s="659"/>
      <c r="X1889" s="660">
        <f t="shared" si="89"/>
        <v>8.842911877394636</v>
      </c>
      <c r="Y1889" s="661" t="str">
        <f t="shared" si="87"/>
        <v/>
      </c>
      <c r="Z1889" s="661" t="str">
        <f t="shared" si="88"/>
        <v/>
      </c>
    </row>
    <row r="1890" spans="1:26" s="128" customFormat="1" ht="25" hidden="1">
      <c r="A1890" s="655">
        <v>62549</v>
      </c>
      <c r="B1890" s="656" t="s">
        <v>33</v>
      </c>
      <c r="C1890" s="655" t="s">
        <v>2793</v>
      </c>
      <c r="D1890" s="656" t="s">
        <v>2894</v>
      </c>
      <c r="E1890" s="656" t="s">
        <v>2479</v>
      </c>
      <c r="F1890" s="655">
        <v>62052</v>
      </c>
      <c r="G1890" s="656" t="s">
        <v>57</v>
      </c>
      <c r="H1890" s="656" t="s">
        <v>1182</v>
      </c>
      <c r="I1890" s="656" t="s">
        <v>58</v>
      </c>
      <c r="J1890" s="655">
        <v>22</v>
      </c>
      <c r="K1890" s="655">
        <v>2</v>
      </c>
      <c r="L1890" s="656" t="s">
        <v>52</v>
      </c>
      <c r="M1890" s="656" t="s">
        <v>448</v>
      </c>
      <c r="N1890" s="656" t="s">
        <v>449</v>
      </c>
      <c r="O1890" s="656" t="s">
        <v>449</v>
      </c>
      <c r="P1890" s="656" t="s">
        <v>1176</v>
      </c>
      <c r="Q1890" s="657">
        <v>0</v>
      </c>
      <c r="R1890" s="657">
        <v>0</v>
      </c>
      <c r="S1890" s="657">
        <v>20030</v>
      </c>
      <c r="T1890" s="657">
        <v>20030</v>
      </c>
      <c r="U1890" s="657">
        <v>2265</v>
      </c>
      <c r="V1890" s="655">
        <v>2021</v>
      </c>
      <c r="W1890" s="659"/>
      <c r="X1890" s="660">
        <f t="shared" si="89"/>
        <v>8.8432671081677707</v>
      </c>
      <c r="Y1890" s="661" t="str">
        <f t="shared" si="87"/>
        <v/>
      </c>
      <c r="Z1890" s="661" t="str">
        <f t="shared" si="88"/>
        <v/>
      </c>
    </row>
    <row r="1891" spans="1:26" s="128" customFormat="1">
      <c r="A1891" s="655">
        <v>62550</v>
      </c>
      <c r="B1891" s="656" t="s">
        <v>33</v>
      </c>
      <c r="C1891" s="655" t="s">
        <v>2793</v>
      </c>
      <c r="D1891" s="656" t="s">
        <v>2480</v>
      </c>
      <c r="E1891" s="656" t="s">
        <v>2481</v>
      </c>
      <c r="F1891" s="655">
        <v>62053</v>
      </c>
      <c r="G1891" s="656" t="s">
        <v>81</v>
      </c>
      <c r="H1891" s="656" t="s">
        <v>1183</v>
      </c>
      <c r="I1891" s="656" t="s">
        <v>58</v>
      </c>
      <c r="J1891" s="655">
        <v>22</v>
      </c>
      <c r="K1891" s="655">
        <v>2</v>
      </c>
      <c r="L1891" s="656" t="s">
        <v>52</v>
      </c>
      <c r="M1891" s="656" t="s">
        <v>448</v>
      </c>
      <c r="N1891" s="656" t="s">
        <v>449</v>
      </c>
      <c r="O1891" s="656" t="s">
        <v>449</v>
      </c>
      <c r="P1891" s="656" t="s">
        <v>1176</v>
      </c>
      <c r="Q1891" s="657">
        <v>0</v>
      </c>
      <c r="R1891" s="657">
        <v>0</v>
      </c>
      <c r="S1891" s="657">
        <v>27784</v>
      </c>
      <c r="T1891" s="657">
        <v>27784</v>
      </c>
      <c r="U1891" s="657">
        <v>3142</v>
      </c>
      <c r="V1891" s="655">
        <v>2021</v>
      </c>
      <c r="W1891" s="659"/>
      <c r="X1891" s="660">
        <f t="shared" si="89"/>
        <v>8.8427753023551876</v>
      </c>
      <c r="Y1891" s="661" t="str">
        <f t="shared" si="87"/>
        <v/>
      </c>
      <c r="Z1891" s="661" t="str">
        <f t="shared" si="88"/>
        <v/>
      </c>
    </row>
    <row r="1892" spans="1:26" s="128" customFormat="1" hidden="1">
      <c r="A1892" s="655">
        <v>62551</v>
      </c>
      <c r="B1892" s="656" t="s">
        <v>33</v>
      </c>
      <c r="C1892" s="655" t="s">
        <v>2793</v>
      </c>
      <c r="D1892" s="656" t="s">
        <v>2482</v>
      </c>
      <c r="E1892" s="656" t="s">
        <v>2482</v>
      </c>
      <c r="F1892" s="655">
        <v>62054</v>
      </c>
      <c r="G1892" s="656" t="s">
        <v>131</v>
      </c>
      <c r="H1892" s="656" t="s">
        <v>1183</v>
      </c>
      <c r="I1892" s="656" t="s">
        <v>58</v>
      </c>
      <c r="J1892" s="655">
        <v>22</v>
      </c>
      <c r="K1892" s="655">
        <v>2</v>
      </c>
      <c r="L1892" s="656" t="s">
        <v>52</v>
      </c>
      <c r="M1892" s="656" t="s">
        <v>448</v>
      </c>
      <c r="N1892" s="656" t="s">
        <v>449</v>
      </c>
      <c r="O1892" s="656" t="s">
        <v>449</v>
      </c>
      <c r="P1892" s="656" t="s">
        <v>1176</v>
      </c>
      <c r="Q1892" s="657">
        <v>0</v>
      </c>
      <c r="R1892" s="657">
        <v>0</v>
      </c>
      <c r="S1892" s="657">
        <v>54792</v>
      </c>
      <c r="T1892" s="657">
        <v>54792</v>
      </c>
      <c r="U1892" s="657">
        <v>6196</v>
      </c>
      <c r="V1892" s="655">
        <v>2021</v>
      </c>
      <c r="W1892" s="659"/>
      <c r="X1892" s="660">
        <f t="shared" si="89"/>
        <v>8.8431245965138796</v>
      </c>
      <c r="Y1892" s="661" t="str">
        <f t="shared" si="87"/>
        <v/>
      </c>
      <c r="Z1892" s="661" t="str">
        <f t="shared" si="88"/>
        <v/>
      </c>
    </row>
    <row r="1893" spans="1:26" s="128" customFormat="1">
      <c r="A1893" s="655">
        <v>62552</v>
      </c>
      <c r="B1893" s="656" t="s">
        <v>33</v>
      </c>
      <c r="C1893" s="655" t="s">
        <v>2793</v>
      </c>
      <c r="D1893" s="656" t="s">
        <v>2483</v>
      </c>
      <c r="E1893" s="656" t="s">
        <v>2484</v>
      </c>
      <c r="F1893" s="655">
        <v>62055</v>
      </c>
      <c r="G1893" s="656" t="s">
        <v>81</v>
      </c>
      <c r="H1893" s="656" t="s">
        <v>1183</v>
      </c>
      <c r="I1893" s="656" t="s">
        <v>58</v>
      </c>
      <c r="J1893" s="655">
        <v>22</v>
      </c>
      <c r="K1893" s="655">
        <v>2</v>
      </c>
      <c r="L1893" s="656" t="s">
        <v>52</v>
      </c>
      <c r="M1893" s="656" t="s">
        <v>448</v>
      </c>
      <c r="N1893" s="656" t="s">
        <v>449</v>
      </c>
      <c r="O1893" s="656" t="s">
        <v>449</v>
      </c>
      <c r="P1893" s="656" t="s">
        <v>1176</v>
      </c>
      <c r="Q1893" s="657">
        <v>0</v>
      </c>
      <c r="R1893" s="657">
        <v>0</v>
      </c>
      <c r="S1893" s="657">
        <v>27997</v>
      </c>
      <c r="T1893" s="657">
        <v>27997</v>
      </c>
      <c r="U1893" s="657">
        <v>3166</v>
      </c>
      <c r="V1893" s="655">
        <v>2021</v>
      </c>
      <c r="W1893" s="659"/>
      <c r="X1893" s="660">
        <f t="shared" si="89"/>
        <v>8.8430195830701201</v>
      </c>
      <c r="Y1893" s="661" t="str">
        <f t="shared" si="87"/>
        <v/>
      </c>
      <c r="Z1893" s="661" t="str">
        <f t="shared" si="88"/>
        <v/>
      </c>
    </row>
    <row r="1894" spans="1:26" s="128" customFormat="1" ht="25" hidden="1">
      <c r="A1894" s="655">
        <v>62556</v>
      </c>
      <c r="B1894" s="656" t="s">
        <v>33</v>
      </c>
      <c r="C1894" s="655" t="s">
        <v>2793</v>
      </c>
      <c r="D1894" s="656" t="s">
        <v>2895</v>
      </c>
      <c r="E1894" s="656" t="s">
        <v>2485</v>
      </c>
      <c r="F1894" s="655">
        <v>62056</v>
      </c>
      <c r="G1894" s="656" t="s">
        <v>57</v>
      </c>
      <c r="H1894" s="656" t="s">
        <v>1182</v>
      </c>
      <c r="I1894" s="656" t="s">
        <v>58</v>
      </c>
      <c r="J1894" s="655">
        <v>22</v>
      </c>
      <c r="K1894" s="655">
        <v>2</v>
      </c>
      <c r="L1894" s="656" t="s">
        <v>52</v>
      </c>
      <c r="M1894" s="656" t="s">
        <v>448</v>
      </c>
      <c r="N1894" s="656" t="s">
        <v>449</v>
      </c>
      <c r="O1894" s="656" t="s">
        <v>449</v>
      </c>
      <c r="P1894" s="656" t="s">
        <v>1176</v>
      </c>
      <c r="Q1894" s="657">
        <v>0</v>
      </c>
      <c r="R1894" s="657">
        <v>0</v>
      </c>
      <c r="S1894" s="657">
        <v>27759</v>
      </c>
      <c r="T1894" s="657">
        <v>27759</v>
      </c>
      <c r="U1894" s="657">
        <v>3139</v>
      </c>
      <c r="V1894" s="655">
        <v>2021</v>
      </c>
      <c r="W1894" s="659"/>
      <c r="X1894" s="660">
        <f t="shared" si="89"/>
        <v>8.8432621854093654</v>
      </c>
      <c r="Y1894" s="661" t="str">
        <f t="shared" si="87"/>
        <v/>
      </c>
      <c r="Z1894" s="661" t="str">
        <f t="shared" si="88"/>
        <v/>
      </c>
    </row>
    <row r="1895" spans="1:26" s="128" customFormat="1">
      <c r="A1895" s="655">
        <v>62557</v>
      </c>
      <c r="B1895" s="656" t="s">
        <v>33</v>
      </c>
      <c r="C1895" s="655" t="s">
        <v>2793</v>
      </c>
      <c r="D1895" s="656" t="s">
        <v>2486</v>
      </c>
      <c r="E1895" s="656" t="s">
        <v>2487</v>
      </c>
      <c r="F1895" s="655">
        <v>62057</v>
      </c>
      <c r="G1895" s="656" t="s">
        <v>81</v>
      </c>
      <c r="H1895" s="656" t="s">
        <v>1183</v>
      </c>
      <c r="I1895" s="656" t="s">
        <v>58</v>
      </c>
      <c r="J1895" s="655">
        <v>22</v>
      </c>
      <c r="K1895" s="655">
        <v>2</v>
      </c>
      <c r="L1895" s="656" t="s">
        <v>52</v>
      </c>
      <c r="M1895" s="656" t="s">
        <v>448</v>
      </c>
      <c r="N1895" s="656" t="s">
        <v>449</v>
      </c>
      <c r="O1895" s="656" t="s">
        <v>449</v>
      </c>
      <c r="P1895" s="656" t="s">
        <v>1176</v>
      </c>
      <c r="Q1895" s="657">
        <v>0</v>
      </c>
      <c r="R1895" s="657">
        <v>0</v>
      </c>
      <c r="S1895" s="657">
        <v>61299</v>
      </c>
      <c r="T1895" s="657">
        <v>61299</v>
      </c>
      <c r="U1895" s="657">
        <v>6932</v>
      </c>
      <c r="V1895" s="655">
        <v>2021</v>
      </c>
      <c r="W1895" s="659"/>
      <c r="X1895" s="660">
        <f t="shared" si="89"/>
        <v>8.8429024812463943</v>
      </c>
      <c r="Y1895" s="661" t="str">
        <f t="shared" si="87"/>
        <v/>
      </c>
      <c r="Z1895" s="661" t="str">
        <f t="shared" si="88"/>
        <v/>
      </c>
    </row>
    <row r="1896" spans="1:26" s="128" customFormat="1" hidden="1">
      <c r="A1896" s="655">
        <v>62558</v>
      </c>
      <c r="B1896" s="656" t="s">
        <v>33</v>
      </c>
      <c r="C1896" s="655" t="s">
        <v>2793</v>
      </c>
      <c r="D1896" s="656" t="s">
        <v>2488</v>
      </c>
      <c r="E1896" s="656" t="s">
        <v>2488</v>
      </c>
      <c r="F1896" s="655">
        <v>62058</v>
      </c>
      <c r="G1896" s="656" t="s">
        <v>131</v>
      </c>
      <c r="H1896" s="656" t="s">
        <v>1183</v>
      </c>
      <c r="I1896" s="656" t="s">
        <v>58</v>
      </c>
      <c r="J1896" s="655">
        <v>22</v>
      </c>
      <c r="K1896" s="655">
        <v>2</v>
      </c>
      <c r="L1896" s="656" t="s">
        <v>52</v>
      </c>
      <c r="M1896" s="656" t="s">
        <v>448</v>
      </c>
      <c r="N1896" s="656" t="s">
        <v>449</v>
      </c>
      <c r="O1896" s="656" t="s">
        <v>449</v>
      </c>
      <c r="P1896" s="656" t="s">
        <v>1176</v>
      </c>
      <c r="Q1896" s="657">
        <v>0</v>
      </c>
      <c r="R1896" s="657">
        <v>0</v>
      </c>
      <c r="S1896" s="657">
        <v>51466</v>
      </c>
      <c r="T1896" s="657">
        <v>51466</v>
      </c>
      <c r="U1896" s="657">
        <v>5820</v>
      </c>
      <c r="V1896" s="655">
        <v>2021</v>
      </c>
      <c r="W1896" s="659"/>
      <c r="X1896" s="660">
        <f t="shared" si="89"/>
        <v>8.8429553264604817</v>
      </c>
      <c r="Y1896" s="661" t="str">
        <f t="shared" si="87"/>
        <v/>
      </c>
      <c r="Z1896" s="661" t="str">
        <f t="shared" si="88"/>
        <v/>
      </c>
    </row>
    <row r="1897" spans="1:26" s="128" customFormat="1">
      <c r="A1897" s="655">
        <v>62559</v>
      </c>
      <c r="B1897" s="656" t="s">
        <v>33</v>
      </c>
      <c r="C1897" s="655" t="s">
        <v>2793</v>
      </c>
      <c r="D1897" s="656" t="s">
        <v>2896</v>
      </c>
      <c r="E1897" s="656" t="s">
        <v>2897</v>
      </c>
      <c r="F1897" s="655">
        <v>62059</v>
      </c>
      <c r="G1897" s="656" t="s">
        <v>81</v>
      </c>
      <c r="H1897" s="656" t="s">
        <v>1183</v>
      </c>
      <c r="I1897" s="656" t="s">
        <v>58</v>
      </c>
      <c r="J1897" s="655">
        <v>22</v>
      </c>
      <c r="K1897" s="655">
        <v>2</v>
      </c>
      <c r="L1897" s="656" t="s">
        <v>52</v>
      </c>
      <c r="M1897" s="656" t="s">
        <v>448</v>
      </c>
      <c r="N1897" s="656" t="s">
        <v>449</v>
      </c>
      <c r="O1897" s="656" t="s">
        <v>449</v>
      </c>
      <c r="P1897" s="656" t="s">
        <v>1176</v>
      </c>
      <c r="Q1897" s="657">
        <v>0</v>
      </c>
      <c r="R1897" s="657">
        <v>0</v>
      </c>
      <c r="S1897" s="657">
        <v>20310</v>
      </c>
      <c r="T1897" s="657">
        <v>20310</v>
      </c>
      <c r="U1897" s="657">
        <v>2297</v>
      </c>
      <c r="V1897" s="655">
        <v>2021</v>
      </c>
      <c r="W1897" s="659"/>
      <c r="X1897" s="660">
        <f t="shared" si="89"/>
        <v>8.8419677840661741</v>
      </c>
      <c r="Y1897" s="661" t="str">
        <f t="shared" si="87"/>
        <v/>
      </c>
      <c r="Z1897" s="661" t="str">
        <f t="shared" si="88"/>
        <v/>
      </c>
    </row>
    <row r="1898" spans="1:26" s="128" customFormat="1" ht="25" hidden="1">
      <c r="A1898" s="655">
        <v>62567</v>
      </c>
      <c r="B1898" s="656" t="s">
        <v>33</v>
      </c>
      <c r="C1898" s="655" t="s">
        <v>2793</v>
      </c>
      <c r="D1898" s="656" t="s">
        <v>2898</v>
      </c>
      <c r="E1898" s="656" t="s">
        <v>2898</v>
      </c>
      <c r="F1898" s="655">
        <v>62062</v>
      </c>
      <c r="G1898" s="656" t="s">
        <v>131</v>
      </c>
      <c r="H1898" s="656" t="s">
        <v>1183</v>
      </c>
      <c r="I1898" s="656" t="s">
        <v>58</v>
      </c>
      <c r="J1898" s="655">
        <v>22</v>
      </c>
      <c r="K1898" s="655">
        <v>2</v>
      </c>
      <c r="L1898" s="656" t="s">
        <v>52</v>
      </c>
      <c r="M1898" s="656" t="s">
        <v>448</v>
      </c>
      <c r="N1898" s="656" t="s">
        <v>449</v>
      </c>
      <c r="O1898" s="656" t="s">
        <v>449</v>
      </c>
      <c r="P1898" s="656" t="s">
        <v>1176</v>
      </c>
      <c r="Q1898" s="657">
        <v>0</v>
      </c>
      <c r="R1898" s="657">
        <v>0</v>
      </c>
      <c r="S1898" s="657">
        <v>17068</v>
      </c>
      <c r="T1898" s="657">
        <v>17068</v>
      </c>
      <c r="U1898" s="657">
        <v>1930</v>
      </c>
      <c r="V1898" s="655">
        <v>2021</v>
      </c>
      <c r="W1898" s="659"/>
      <c r="X1898" s="660">
        <f t="shared" si="89"/>
        <v>8.8435233160621767</v>
      </c>
      <c r="Y1898" s="661" t="str">
        <f t="shared" si="87"/>
        <v/>
      </c>
      <c r="Z1898" s="661" t="str">
        <f t="shared" si="88"/>
        <v/>
      </c>
    </row>
    <row r="1899" spans="1:26" s="128" customFormat="1" ht="25" hidden="1">
      <c r="A1899" s="655">
        <v>62568</v>
      </c>
      <c r="B1899" s="656" t="s">
        <v>33</v>
      </c>
      <c r="C1899" s="655" t="s">
        <v>2793</v>
      </c>
      <c r="D1899" s="656" t="s">
        <v>3157</v>
      </c>
      <c r="E1899" s="656" t="s">
        <v>3157</v>
      </c>
      <c r="F1899" s="655">
        <v>62061</v>
      </c>
      <c r="G1899" s="656" t="s">
        <v>131</v>
      </c>
      <c r="H1899" s="656" t="s">
        <v>1183</v>
      </c>
      <c r="I1899" s="656" t="s">
        <v>58</v>
      </c>
      <c r="J1899" s="655">
        <v>22</v>
      </c>
      <c r="K1899" s="655">
        <v>2</v>
      </c>
      <c r="L1899" s="656" t="s">
        <v>52</v>
      </c>
      <c r="M1899" s="656" t="s">
        <v>448</v>
      </c>
      <c r="N1899" s="656" t="s">
        <v>449</v>
      </c>
      <c r="O1899" s="656" t="s">
        <v>449</v>
      </c>
      <c r="P1899" s="656" t="s">
        <v>1176</v>
      </c>
      <c r="Q1899" s="657">
        <v>0</v>
      </c>
      <c r="R1899" s="657">
        <v>0</v>
      </c>
      <c r="S1899" s="657">
        <v>24646</v>
      </c>
      <c r="T1899" s="657">
        <v>24646</v>
      </c>
      <c r="U1899" s="657">
        <v>2787</v>
      </c>
      <c r="V1899" s="655">
        <v>2021</v>
      </c>
      <c r="W1899" s="659"/>
      <c r="X1899" s="660">
        <f t="shared" si="89"/>
        <v>8.8432005740940074</v>
      </c>
      <c r="Y1899" s="661" t="str">
        <f t="shared" si="87"/>
        <v/>
      </c>
      <c r="Z1899" s="661" t="str">
        <f t="shared" si="88"/>
        <v/>
      </c>
    </row>
    <row r="1900" spans="1:26" s="128" customFormat="1" ht="25">
      <c r="A1900" s="655">
        <v>62570</v>
      </c>
      <c r="B1900" s="656" t="s">
        <v>33</v>
      </c>
      <c r="C1900" s="655" t="s">
        <v>2793</v>
      </c>
      <c r="D1900" s="656" t="s">
        <v>2899</v>
      </c>
      <c r="E1900" s="656" t="s">
        <v>2900</v>
      </c>
      <c r="F1900" s="655">
        <v>62069</v>
      </c>
      <c r="G1900" s="656" t="s">
        <v>81</v>
      </c>
      <c r="H1900" s="656" t="s">
        <v>1183</v>
      </c>
      <c r="I1900" s="656" t="s">
        <v>58</v>
      </c>
      <c r="J1900" s="655">
        <v>22</v>
      </c>
      <c r="K1900" s="655">
        <v>2</v>
      </c>
      <c r="L1900" s="656" t="s">
        <v>52</v>
      </c>
      <c r="M1900" s="656" t="s">
        <v>71</v>
      </c>
      <c r="N1900" s="656" t="s">
        <v>72</v>
      </c>
      <c r="O1900" s="656" t="s">
        <v>72</v>
      </c>
      <c r="P1900" s="656" t="s">
        <v>1176</v>
      </c>
      <c r="Q1900" s="657">
        <v>0</v>
      </c>
      <c r="R1900" s="657">
        <v>0</v>
      </c>
      <c r="S1900" s="657">
        <v>18</v>
      </c>
      <c r="T1900" s="657">
        <v>18</v>
      </c>
      <c r="U1900" s="657">
        <v>2</v>
      </c>
      <c r="V1900" s="655">
        <v>2021</v>
      </c>
      <c r="W1900" s="659"/>
      <c r="X1900" s="660">
        <f t="shared" si="89"/>
        <v>9</v>
      </c>
      <c r="Y1900" s="661" t="str">
        <f t="shared" si="87"/>
        <v/>
      </c>
      <c r="Z1900" s="661" t="str">
        <f t="shared" si="88"/>
        <v/>
      </c>
    </row>
    <row r="1901" spans="1:26" s="128" customFormat="1" hidden="1">
      <c r="A1901" s="655">
        <v>62572</v>
      </c>
      <c r="B1901" s="656" t="s">
        <v>33</v>
      </c>
      <c r="C1901" s="655" t="s">
        <v>2793</v>
      </c>
      <c r="D1901" s="656" t="s">
        <v>2489</v>
      </c>
      <c r="E1901" s="656" t="s">
        <v>1795</v>
      </c>
      <c r="F1901" s="655">
        <v>57128</v>
      </c>
      <c r="G1901" s="656" t="s">
        <v>57</v>
      </c>
      <c r="H1901" s="656" t="s">
        <v>1182</v>
      </c>
      <c r="I1901" s="656" t="s">
        <v>58</v>
      </c>
      <c r="J1901" s="655">
        <v>22</v>
      </c>
      <c r="K1901" s="655">
        <v>2</v>
      </c>
      <c r="L1901" s="656" t="s">
        <v>52</v>
      </c>
      <c r="M1901" s="656" t="s">
        <v>1255</v>
      </c>
      <c r="N1901" s="656" t="s">
        <v>39</v>
      </c>
      <c r="O1901" s="656" t="s">
        <v>39</v>
      </c>
      <c r="P1901" s="656" t="s">
        <v>1037</v>
      </c>
      <c r="Q1901" s="657">
        <v>56063</v>
      </c>
      <c r="R1901" s="657">
        <v>56063</v>
      </c>
      <c r="S1901" s="657">
        <v>57185</v>
      </c>
      <c r="T1901" s="657">
        <v>57185</v>
      </c>
      <c r="U1901" s="657">
        <v>7797</v>
      </c>
      <c r="V1901" s="655">
        <v>2021</v>
      </c>
      <c r="W1901" s="659"/>
      <c r="X1901" s="660">
        <f t="shared" si="89"/>
        <v>7.3342311145312298</v>
      </c>
      <c r="Y1901" s="661" t="str">
        <f t="shared" si="87"/>
        <v/>
      </c>
      <c r="Z1901" s="661" t="str">
        <f t="shared" si="88"/>
        <v/>
      </c>
    </row>
    <row r="1902" spans="1:26" s="128" customFormat="1" hidden="1">
      <c r="A1902" s="655">
        <v>62576</v>
      </c>
      <c r="B1902" s="656" t="s">
        <v>33</v>
      </c>
      <c r="C1902" s="655" t="s">
        <v>2793</v>
      </c>
      <c r="D1902" s="656" t="s">
        <v>2490</v>
      </c>
      <c r="E1902" s="656" t="s">
        <v>1795</v>
      </c>
      <c r="F1902" s="655">
        <v>57128</v>
      </c>
      <c r="G1902" s="656" t="s">
        <v>57</v>
      </c>
      <c r="H1902" s="656" t="s">
        <v>1182</v>
      </c>
      <c r="I1902" s="656" t="s">
        <v>58</v>
      </c>
      <c r="J1902" s="655">
        <v>22</v>
      </c>
      <c r="K1902" s="655">
        <v>2</v>
      </c>
      <c r="L1902" s="656" t="s">
        <v>52</v>
      </c>
      <c r="M1902" s="656" t="s">
        <v>1255</v>
      </c>
      <c r="N1902" s="656" t="s">
        <v>39</v>
      </c>
      <c r="O1902" s="656" t="s">
        <v>39</v>
      </c>
      <c r="P1902" s="656" t="s">
        <v>1037</v>
      </c>
      <c r="Q1902" s="657">
        <v>61468</v>
      </c>
      <c r="R1902" s="657">
        <v>61468</v>
      </c>
      <c r="S1902" s="657">
        <v>63066</v>
      </c>
      <c r="T1902" s="657">
        <v>63066</v>
      </c>
      <c r="U1902" s="657">
        <v>8841</v>
      </c>
      <c r="V1902" s="655">
        <v>2021</v>
      </c>
      <c r="W1902" s="659"/>
      <c r="X1902" s="660">
        <f t="shared" si="89"/>
        <v>7.1333559552086871</v>
      </c>
      <c r="Y1902" s="661" t="str">
        <f t="shared" si="87"/>
        <v/>
      </c>
      <c r="Z1902" s="661" t="str">
        <f t="shared" si="88"/>
        <v/>
      </c>
    </row>
    <row r="1903" spans="1:26" s="128" customFormat="1" ht="25">
      <c r="A1903" s="655">
        <v>62579</v>
      </c>
      <c r="B1903" s="656" t="s">
        <v>33</v>
      </c>
      <c r="C1903" s="655" t="s">
        <v>2793</v>
      </c>
      <c r="D1903" s="656" t="s">
        <v>2901</v>
      </c>
      <c r="E1903" s="656" t="s">
        <v>2902</v>
      </c>
      <c r="F1903" s="655">
        <v>62070</v>
      </c>
      <c r="G1903" s="656" t="s">
        <v>81</v>
      </c>
      <c r="H1903" s="656" t="s">
        <v>1183</v>
      </c>
      <c r="I1903" s="656" t="s">
        <v>58</v>
      </c>
      <c r="J1903" s="655">
        <v>22</v>
      </c>
      <c r="K1903" s="655">
        <v>2</v>
      </c>
      <c r="L1903" s="656" t="s">
        <v>52</v>
      </c>
      <c r="M1903" s="656" t="s">
        <v>448</v>
      </c>
      <c r="N1903" s="656" t="s">
        <v>449</v>
      </c>
      <c r="O1903" s="656" t="s">
        <v>449</v>
      </c>
      <c r="P1903" s="656" t="s">
        <v>1176</v>
      </c>
      <c r="Q1903" s="657">
        <v>0</v>
      </c>
      <c r="R1903" s="657">
        <v>0</v>
      </c>
      <c r="S1903" s="657">
        <v>27687</v>
      </c>
      <c r="T1903" s="657">
        <v>27687</v>
      </c>
      <c r="U1903" s="657">
        <v>3131</v>
      </c>
      <c r="V1903" s="655">
        <v>2021</v>
      </c>
      <c r="W1903" s="659"/>
      <c r="X1903" s="660">
        <f t="shared" si="89"/>
        <v>8.842861705525392</v>
      </c>
      <c r="Y1903" s="661" t="str">
        <f t="shared" si="87"/>
        <v/>
      </c>
      <c r="Z1903" s="661" t="str">
        <f t="shared" si="88"/>
        <v/>
      </c>
    </row>
    <row r="1904" spans="1:26" s="128" customFormat="1" ht="25" hidden="1">
      <c r="A1904" s="655">
        <v>62580</v>
      </c>
      <c r="B1904" s="656" t="s">
        <v>33</v>
      </c>
      <c r="C1904" s="655" t="s">
        <v>2793</v>
      </c>
      <c r="D1904" s="656" t="s">
        <v>2491</v>
      </c>
      <c r="E1904" s="656" t="s">
        <v>2492</v>
      </c>
      <c r="F1904" s="655">
        <v>62071</v>
      </c>
      <c r="G1904" s="656" t="s">
        <v>57</v>
      </c>
      <c r="H1904" s="656" t="s">
        <v>1182</v>
      </c>
      <c r="I1904" s="656" t="s">
        <v>58</v>
      </c>
      <c r="J1904" s="655">
        <v>22</v>
      </c>
      <c r="K1904" s="655">
        <v>2</v>
      </c>
      <c r="L1904" s="656" t="s">
        <v>52</v>
      </c>
      <c r="M1904" s="656" t="s">
        <v>448</v>
      </c>
      <c r="N1904" s="656" t="s">
        <v>449</v>
      </c>
      <c r="O1904" s="656" t="s">
        <v>449</v>
      </c>
      <c r="P1904" s="656" t="s">
        <v>1176</v>
      </c>
      <c r="Q1904" s="657">
        <v>0</v>
      </c>
      <c r="R1904" s="657">
        <v>0</v>
      </c>
      <c r="S1904" s="657">
        <v>56321</v>
      </c>
      <c r="T1904" s="657">
        <v>56321</v>
      </c>
      <c r="U1904" s="657">
        <v>6369</v>
      </c>
      <c r="V1904" s="655">
        <v>2021</v>
      </c>
      <c r="W1904" s="659"/>
      <c r="X1904" s="660">
        <f t="shared" si="89"/>
        <v>8.842989480295179</v>
      </c>
      <c r="Y1904" s="661" t="str">
        <f t="shared" si="87"/>
        <v/>
      </c>
      <c r="Z1904" s="661" t="str">
        <f t="shared" si="88"/>
        <v/>
      </c>
    </row>
    <row r="1905" spans="1:26" s="128" customFormat="1">
      <c r="A1905" s="655">
        <v>62581</v>
      </c>
      <c r="B1905" s="656" t="s">
        <v>33</v>
      </c>
      <c r="C1905" s="655" t="s">
        <v>2793</v>
      </c>
      <c r="D1905" s="656" t="s">
        <v>2903</v>
      </c>
      <c r="E1905" s="656" t="s">
        <v>1765</v>
      </c>
      <c r="F1905" s="655">
        <v>59254</v>
      </c>
      <c r="G1905" s="656" t="s">
        <v>81</v>
      </c>
      <c r="H1905" s="656" t="s">
        <v>1183</v>
      </c>
      <c r="I1905" s="656" t="s">
        <v>58</v>
      </c>
      <c r="J1905" s="655">
        <v>22</v>
      </c>
      <c r="K1905" s="655">
        <v>2</v>
      </c>
      <c r="L1905" s="656" t="s">
        <v>52</v>
      </c>
      <c r="M1905" s="656" t="s">
        <v>448</v>
      </c>
      <c r="N1905" s="656" t="s">
        <v>449</v>
      </c>
      <c r="O1905" s="656" t="s">
        <v>449</v>
      </c>
      <c r="P1905" s="656" t="s">
        <v>1176</v>
      </c>
      <c r="Q1905" s="657">
        <v>0</v>
      </c>
      <c r="R1905" s="657">
        <v>0</v>
      </c>
      <c r="S1905" s="657">
        <v>42764</v>
      </c>
      <c r="T1905" s="657">
        <v>42764</v>
      </c>
      <c r="U1905" s="657">
        <v>4836</v>
      </c>
      <c r="V1905" s="655">
        <v>2021</v>
      </c>
      <c r="W1905" s="659"/>
      <c r="X1905" s="660">
        <f t="shared" si="89"/>
        <v>8.8428453267162936</v>
      </c>
      <c r="Y1905" s="661" t="str">
        <f t="shared" si="87"/>
        <v/>
      </c>
      <c r="Z1905" s="661" t="str">
        <f t="shared" si="88"/>
        <v/>
      </c>
    </row>
    <row r="1906" spans="1:26" s="128" customFormat="1" ht="25" hidden="1">
      <c r="A1906" s="655">
        <v>62582</v>
      </c>
      <c r="B1906" s="656" t="s">
        <v>33</v>
      </c>
      <c r="C1906" s="655" t="s">
        <v>2793</v>
      </c>
      <c r="D1906" s="656" t="s">
        <v>2904</v>
      </c>
      <c r="E1906" s="656" t="s">
        <v>2905</v>
      </c>
      <c r="F1906" s="655">
        <v>62072</v>
      </c>
      <c r="G1906" s="656" t="s">
        <v>57</v>
      </c>
      <c r="H1906" s="656" t="s">
        <v>1182</v>
      </c>
      <c r="I1906" s="656" t="s">
        <v>58</v>
      </c>
      <c r="J1906" s="655">
        <v>22</v>
      </c>
      <c r="K1906" s="655">
        <v>2</v>
      </c>
      <c r="L1906" s="656" t="s">
        <v>52</v>
      </c>
      <c r="M1906" s="656" t="s">
        <v>448</v>
      </c>
      <c r="N1906" s="656" t="s">
        <v>449</v>
      </c>
      <c r="O1906" s="656" t="s">
        <v>449</v>
      </c>
      <c r="P1906" s="656" t="s">
        <v>1176</v>
      </c>
      <c r="Q1906" s="657">
        <v>0</v>
      </c>
      <c r="R1906" s="657">
        <v>0</v>
      </c>
      <c r="S1906" s="657">
        <v>74916</v>
      </c>
      <c r="T1906" s="657">
        <v>74916</v>
      </c>
      <c r="U1906" s="657">
        <v>8472</v>
      </c>
      <c r="V1906" s="655">
        <v>2021</v>
      </c>
      <c r="W1906" s="659"/>
      <c r="X1906" s="660">
        <f t="shared" si="89"/>
        <v>8.8427762039660056</v>
      </c>
      <c r="Y1906" s="661" t="str">
        <f t="shared" si="87"/>
        <v/>
      </c>
      <c r="Z1906" s="661" t="str">
        <f t="shared" si="88"/>
        <v/>
      </c>
    </row>
    <row r="1907" spans="1:26" s="128" customFormat="1" ht="25">
      <c r="A1907" s="655">
        <v>62583</v>
      </c>
      <c r="B1907" s="656" t="s">
        <v>33</v>
      </c>
      <c r="C1907" s="655" t="s">
        <v>2793</v>
      </c>
      <c r="D1907" s="656" t="s">
        <v>2493</v>
      </c>
      <c r="E1907" s="656" t="s">
        <v>2493</v>
      </c>
      <c r="F1907" s="655">
        <v>62073</v>
      </c>
      <c r="G1907" s="656" t="s">
        <v>81</v>
      </c>
      <c r="H1907" s="656" t="s">
        <v>1183</v>
      </c>
      <c r="I1907" s="656" t="s">
        <v>58</v>
      </c>
      <c r="J1907" s="655">
        <v>22</v>
      </c>
      <c r="K1907" s="655">
        <v>2</v>
      </c>
      <c r="L1907" s="656" t="s">
        <v>52</v>
      </c>
      <c r="M1907" s="656" t="s">
        <v>448</v>
      </c>
      <c r="N1907" s="656" t="s">
        <v>449</v>
      </c>
      <c r="O1907" s="656" t="s">
        <v>449</v>
      </c>
      <c r="P1907" s="656" t="s">
        <v>1176</v>
      </c>
      <c r="Q1907" s="657">
        <v>0</v>
      </c>
      <c r="R1907" s="657">
        <v>0</v>
      </c>
      <c r="S1907" s="657">
        <v>60946</v>
      </c>
      <c r="T1907" s="657">
        <v>60946</v>
      </c>
      <c r="U1907" s="657">
        <v>6892</v>
      </c>
      <c r="V1907" s="655">
        <v>2021</v>
      </c>
      <c r="W1907" s="659"/>
      <c r="X1907" s="660">
        <f t="shared" si="89"/>
        <v>8.8430063842135809</v>
      </c>
      <c r="Y1907" s="661" t="str">
        <f t="shared" si="87"/>
        <v/>
      </c>
      <c r="Z1907" s="661" t="str">
        <f t="shared" si="88"/>
        <v/>
      </c>
    </row>
    <row r="1908" spans="1:26" s="128" customFormat="1" ht="25">
      <c r="A1908" s="655">
        <v>62585</v>
      </c>
      <c r="B1908" s="656" t="s">
        <v>33</v>
      </c>
      <c r="C1908" s="655" t="s">
        <v>2793</v>
      </c>
      <c r="D1908" s="656" t="s">
        <v>2906</v>
      </c>
      <c r="E1908" s="656" t="s">
        <v>372</v>
      </c>
      <c r="F1908" s="655">
        <v>11806</v>
      </c>
      <c r="G1908" s="656" t="s">
        <v>81</v>
      </c>
      <c r="H1908" s="656" t="s">
        <v>1183</v>
      </c>
      <c r="I1908" s="656" t="s">
        <v>58</v>
      </c>
      <c r="J1908" s="655">
        <v>22</v>
      </c>
      <c r="K1908" s="655">
        <v>1</v>
      </c>
      <c r="L1908" s="656" t="s">
        <v>34</v>
      </c>
      <c r="M1908" s="656" t="s">
        <v>1890</v>
      </c>
      <c r="N1908" s="656" t="s">
        <v>1052</v>
      </c>
      <c r="O1908" s="656" t="s">
        <v>82</v>
      </c>
      <c r="P1908" s="656" t="s">
        <v>2794</v>
      </c>
      <c r="Q1908" s="657">
        <v>246</v>
      </c>
      <c r="R1908" s="657">
        <v>246</v>
      </c>
      <c r="S1908" s="657">
        <v>0</v>
      </c>
      <c r="T1908" s="657">
        <v>0</v>
      </c>
      <c r="U1908" s="657">
        <v>-72</v>
      </c>
      <c r="V1908" s="655">
        <v>2021</v>
      </c>
      <c r="W1908" s="659"/>
      <c r="X1908" s="660" t="str">
        <f t="shared" si="89"/>
        <v/>
      </c>
      <c r="Y1908" s="661" t="str">
        <f t="shared" si="87"/>
        <v/>
      </c>
      <c r="Z1908" s="661" t="str">
        <f t="shared" si="88"/>
        <v/>
      </c>
    </row>
    <row r="1909" spans="1:26" s="128" customFormat="1" ht="25" hidden="1">
      <c r="A1909" s="655">
        <v>62589</v>
      </c>
      <c r="B1909" s="656" t="s">
        <v>33</v>
      </c>
      <c r="C1909" s="655" t="s">
        <v>2793</v>
      </c>
      <c r="D1909" s="656" t="s">
        <v>2907</v>
      </c>
      <c r="E1909" s="656" t="s">
        <v>2907</v>
      </c>
      <c r="F1909" s="655">
        <v>62087</v>
      </c>
      <c r="G1909" s="656" t="s">
        <v>57</v>
      </c>
      <c r="H1909" s="656" t="s">
        <v>1182</v>
      </c>
      <c r="I1909" s="656" t="s">
        <v>58</v>
      </c>
      <c r="J1909" s="655">
        <v>622</v>
      </c>
      <c r="K1909" s="655">
        <v>4</v>
      </c>
      <c r="L1909" s="656" t="s">
        <v>412</v>
      </c>
      <c r="M1909" s="656" t="s">
        <v>51</v>
      </c>
      <c r="N1909" s="656" t="s">
        <v>46</v>
      </c>
      <c r="O1909" s="656" t="s">
        <v>46</v>
      </c>
      <c r="P1909" s="656" t="s">
        <v>47</v>
      </c>
      <c r="Q1909" s="657">
        <v>36</v>
      </c>
      <c r="R1909" s="657">
        <v>36</v>
      </c>
      <c r="S1909" s="657">
        <v>210</v>
      </c>
      <c r="T1909" s="657">
        <v>210</v>
      </c>
      <c r="U1909" s="657">
        <v>10</v>
      </c>
      <c r="V1909" s="655">
        <v>2021</v>
      </c>
      <c r="W1909" s="659"/>
      <c r="X1909" s="660" t="str">
        <f t="shared" si="89"/>
        <v/>
      </c>
      <c r="Y1909" s="661" t="str">
        <f t="shared" si="87"/>
        <v/>
      </c>
      <c r="Z1909" s="661" t="str">
        <f t="shared" si="88"/>
        <v/>
      </c>
    </row>
    <row r="1910" spans="1:26" s="128" customFormat="1" hidden="1">
      <c r="A1910" s="655">
        <v>62613</v>
      </c>
      <c r="B1910" s="656" t="s">
        <v>33</v>
      </c>
      <c r="C1910" s="655" t="s">
        <v>2793</v>
      </c>
      <c r="D1910" s="656" t="s">
        <v>2494</v>
      </c>
      <c r="E1910" s="656" t="s">
        <v>2495</v>
      </c>
      <c r="F1910" s="655">
        <v>62067</v>
      </c>
      <c r="G1910" s="656" t="s">
        <v>57</v>
      </c>
      <c r="H1910" s="656" t="s">
        <v>1182</v>
      </c>
      <c r="I1910" s="656" t="s">
        <v>58</v>
      </c>
      <c r="J1910" s="655">
        <v>22</v>
      </c>
      <c r="K1910" s="655">
        <v>2</v>
      </c>
      <c r="L1910" s="656" t="s">
        <v>52</v>
      </c>
      <c r="M1910" s="656" t="s">
        <v>448</v>
      </c>
      <c r="N1910" s="656" t="s">
        <v>449</v>
      </c>
      <c r="O1910" s="656" t="s">
        <v>449</v>
      </c>
      <c r="P1910" s="656" t="s">
        <v>1176</v>
      </c>
      <c r="Q1910" s="657">
        <v>0</v>
      </c>
      <c r="R1910" s="657">
        <v>0</v>
      </c>
      <c r="S1910" s="657">
        <v>20658</v>
      </c>
      <c r="T1910" s="657">
        <v>20658</v>
      </c>
      <c r="U1910" s="657">
        <v>2336</v>
      </c>
      <c r="V1910" s="655">
        <v>2021</v>
      </c>
      <c r="W1910" s="659"/>
      <c r="X1910" s="660">
        <f t="shared" si="89"/>
        <v>8.8433219178082183</v>
      </c>
      <c r="Y1910" s="661" t="str">
        <f t="shared" si="87"/>
        <v/>
      </c>
      <c r="Z1910" s="661" t="str">
        <f t="shared" si="88"/>
        <v/>
      </c>
    </row>
    <row r="1911" spans="1:26" s="128" customFormat="1" hidden="1">
      <c r="A1911" s="655">
        <v>62614</v>
      </c>
      <c r="B1911" s="656" t="s">
        <v>33</v>
      </c>
      <c r="C1911" s="655" t="s">
        <v>2793</v>
      </c>
      <c r="D1911" s="656" t="s">
        <v>2496</v>
      </c>
      <c r="E1911" s="656" t="s">
        <v>2495</v>
      </c>
      <c r="F1911" s="655">
        <v>62067</v>
      </c>
      <c r="G1911" s="656" t="s">
        <v>57</v>
      </c>
      <c r="H1911" s="656" t="s">
        <v>1182</v>
      </c>
      <c r="I1911" s="656" t="s">
        <v>58</v>
      </c>
      <c r="J1911" s="655">
        <v>22</v>
      </c>
      <c r="K1911" s="655">
        <v>2</v>
      </c>
      <c r="L1911" s="656" t="s">
        <v>52</v>
      </c>
      <c r="M1911" s="656" t="s">
        <v>448</v>
      </c>
      <c r="N1911" s="656" t="s">
        <v>449</v>
      </c>
      <c r="O1911" s="656" t="s">
        <v>449</v>
      </c>
      <c r="P1911" s="656" t="s">
        <v>1176</v>
      </c>
      <c r="Q1911" s="657">
        <v>0</v>
      </c>
      <c r="R1911" s="657">
        <v>0</v>
      </c>
      <c r="S1911" s="657">
        <v>33585</v>
      </c>
      <c r="T1911" s="657">
        <v>33585</v>
      </c>
      <c r="U1911" s="657">
        <v>3798</v>
      </c>
      <c r="V1911" s="655">
        <v>2021</v>
      </c>
      <c r="W1911" s="659"/>
      <c r="X1911" s="660">
        <f t="shared" si="89"/>
        <v>8.8428120063191145</v>
      </c>
      <c r="Y1911" s="661" t="str">
        <f t="shared" si="87"/>
        <v/>
      </c>
      <c r="Z1911" s="661" t="str">
        <f t="shared" si="88"/>
        <v/>
      </c>
    </row>
    <row r="1912" spans="1:26" s="128" customFormat="1" hidden="1">
      <c r="A1912" s="655">
        <v>62615</v>
      </c>
      <c r="B1912" s="656" t="s">
        <v>33</v>
      </c>
      <c r="C1912" s="655" t="s">
        <v>2793</v>
      </c>
      <c r="D1912" s="656" t="s">
        <v>2497</v>
      </c>
      <c r="E1912" s="656" t="s">
        <v>2495</v>
      </c>
      <c r="F1912" s="655">
        <v>62067</v>
      </c>
      <c r="G1912" s="656" t="s">
        <v>41</v>
      </c>
      <c r="H1912" s="656" t="s">
        <v>1183</v>
      </c>
      <c r="I1912" s="656" t="s">
        <v>58</v>
      </c>
      <c r="J1912" s="655">
        <v>22</v>
      </c>
      <c r="K1912" s="655">
        <v>2</v>
      </c>
      <c r="L1912" s="656" t="s">
        <v>52</v>
      </c>
      <c r="M1912" s="656" t="s">
        <v>448</v>
      </c>
      <c r="N1912" s="656" t="s">
        <v>449</v>
      </c>
      <c r="O1912" s="656" t="s">
        <v>449</v>
      </c>
      <c r="P1912" s="656" t="s">
        <v>1176</v>
      </c>
      <c r="Q1912" s="657">
        <v>0</v>
      </c>
      <c r="R1912" s="657">
        <v>0</v>
      </c>
      <c r="S1912" s="657">
        <v>12938</v>
      </c>
      <c r="T1912" s="657">
        <v>12938</v>
      </c>
      <c r="U1912" s="657">
        <v>1463</v>
      </c>
      <c r="V1912" s="655">
        <v>2021</v>
      </c>
      <c r="W1912" s="659"/>
      <c r="X1912" s="660">
        <f t="shared" si="89"/>
        <v>8.843472317156527</v>
      </c>
      <c r="Y1912" s="661" t="str">
        <f t="shared" si="87"/>
        <v/>
      </c>
      <c r="Z1912" s="661" t="str">
        <f t="shared" si="88"/>
        <v/>
      </c>
    </row>
    <row r="1913" spans="1:26" s="128" customFormat="1" ht="25" hidden="1">
      <c r="A1913" s="655">
        <v>62619</v>
      </c>
      <c r="B1913" s="656" t="s">
        <v>33</v>
      </c>
      <c r="C1913" s="655" t="s">
        <v>2793</v>
      </c>
      <c r="D1913" s="656" t="s">
        <v>2908</v>
      </c>
      <c r="E1913" s="656" t="s">
        <v>2908</v>
      </c>
      <c r="F1913" s="655">
        <v>62110</v>
      </c>
      <c r="G1913" s="656" t="s">
        <v>57</v>
      </c>
      <c r="H1913" s="656" t="s">
        <v>1182</v>
      </c>
      <c r="I1913" s="656" t="s">
        <v>58</v>
      </c>
      <c r="J1913" s="655">
        <v>622</v>
      </c>
      <c r="K1913" s="655">
        <v>4</v>
      </c>
      <c r="L1913" s="656" t="s">
        <v>412</v>
      </c>
      <c r="M1913" s="656" t="s">
        <v>51</v>
      </c>
      <c r="N1913" s="656" t="s">
        <v>46</v>
      </c>
      <c r="O1913" s="656" t="s">
        <v>46</v>
      </c>
      <c r="P1913" s="656" t="s">
        <v>47</v>
      </c>
      <c r="Q1913" s="657">
        <v>27</v>
      </c>
      <c r="R1913" s="657">
        <v>27</v>
      </c>
      <c r="S1913" s="657">
        <v>152</v>
      </c>
      <c r="T1913" s="657">
        <v>152</v>
      </c>
      <c r="U1913" s="657">
        <v>12.036</v>
      </c>
      <c r="V1913" s="655">
        <v>2021</v>
      </c>
      <c r="W1913" s="659"/>
      <c r="X1913" s="660" t="str">
        <f t="shared" si="89"/>
        <v/>
      </c>
      <c r="Y1913" s="661" t="str">
        <f t="shared" si="87"/>
        <v/>
      </c>
      <c r="Z1913" s="661" t="str">
        <f t="shared" si="88"/>
        <v/>
      </c>
    </row>
    <row r="1914" spans="1:26" s="128" customFormat="1" ht="25" hidden="1">
      <c r="A1914" s="655">
        <v>62619</v>
      </c>
      <c r="B1914" s="656" t="s">
        <v>33</v>
      </c>
      <c r="C1914" s="655" t="s">
        <v>2793</v>
      </c>
      <c r="D1914" s="656" t="s">
        <v>2908</v>
      </c>
      <c r="E1914" s="656" t="s">
        <v>2908</v>
      </c>
      <c r="F1914" s="655">
        <v>62110</v>
      </c>
      <c r="G1914" s="656" t="s">
        <v>57</v>
      </c>
      <c r="H1914" s="656" t="s">
        <v>1182</v>
      </c>
      <c r="I1914" s="656" t="s">
        <v>58</v>
      </c>
      <c r="J1914" s="655">
        <v>622</v>
      </c>
      <c r="K1914" s="655">
        <v>4</v>
      </c>
      <c r="L1914" s="656" t="s">
        <v>412</v>
      </c>
      <c r="M1914" s="656" t="s">
        <v>51</v>
      </c>
      <c r="N1914" s="656" t="s">
        <v>39</v>
      </c>
      <c r="O1914" s="656" t="s">
        <v>39</v>
      </c>
      <c r="P1914" s="656" t="s">
        <v>1037</v>
      </c>
      <c r="Q1914" s="657">
        <v>311</v>
      </c>
      <c r="R1914" s="657">
        <v>311</v>
      </c>
      <c r="S1914" s="657">
        <v>323</v>
      </c>
      <c r="T1914" s="657">
        <v>323</v>
      </c>
      <c r="U1914" s="657">
        <v>25.963999999999999</v>
      </c>
      <c r="V1914" s="655">
        <v>2021</v>
      </c>
      <c r="W1914" s="659"/>
      <c r="X1914" s="660" t="str">
        <f t="shared" si="89"/>
        <v/>
      </c>
      <c r="Y1914" s="661" t="str">
        <f t="shared" si="87"/>
        <v/>
      </c>
      <c r="Z1914" s="661" t="str">
        <f t="shared" si="88"/>
        <v/>
      </c>
    </row>
    <row r="1915" spans="1:26" s="128" customFormat="1">
      <c r="A1915" s="655">
        <v>62625</v>
      </c>
      <c r="B1915" s="656" t="s">
        <v>33</v>
      </c>
      <c r="C1915" s="655" t="s">
        <v>2793</v>
      </c>
      <c r="D1915" s="656" t="s">
        <v>2498</v>
      </c>
      <c r="E1915" s="656" t="s">
        <v>15</v>
      </c>
      <c r="F1915" s="655">
        <v>18488</v>
      </c>
      <c r="G1915" s="656" t="s">
        <v>81</v>
      </c>
      <c r="H1915" s="656" t="s">
        <v>1183</v>
      </c>
      <c r="I1915" s="656" t="s">
        <v>58</v>
      </c>
      <c r="J1915" s="655">
        <v>22</v>
      </c>
      <c r="K1915" s="655">
        <v>1</v>
      </c>
      <c r="L1915" s="656" t="s">
        <v>34</v>
      </c>
      <c r="M1915" s="656" t="s">
        <v>51</v>
      </c>
      <c r="N1915" s="656" t="s">
        <v>46</v>
      </c>
      <c r="O1915" s="656" t="s">
        <v>46</v>
      </c>
      <c r="P1915" s="656" t="s">
        <v>47</v>
      </c>
      <c r="Q1915" s="657">
        <v>2262</v>
      </c>
      <c r="R1915" s="657">
        <v>2262</v>
      </c>
      <c r="S1915" s="657">
        <v>12562</v>
      </c>
      <c r="T1915" s="657">
        <v>12562</v>
      </c>
      <c r="U1915" s="657">
        <v>1338</v>
      </c>
      <c r="V1915" s="655">
        <v>2021</v>
      </c>
      <c r="W1915" s="659"/>
      <c r="X1915" s="660">
        <f t="shared" si="89"/>
        <v>9.3886397608370711</v>
      </c>
      <c r="Y1915" s="661" t="str">
        <f t="shared" si="87"/>
        <v/>
      </c>
      <c r="Z1915" s="661" t="str">
        <f t="shared" si="88"/>
        <v/>
      </c>
    </row>
    <row r="1916" spans="1:26" s="128" customFormat="1" ht="25" hidden="1">
      <c r="A1916" s="655">
        <v>62639</v>
      </c>
      <c r="B1916" s="656" t="s">
        <v>33</v>
      </c>
      <c r="C1916" s="655" t="s">
        <v>2793</v>
      </c>
      <c r="D1916" s="656" t="s">
        <v>2499</v>
      </c>
      <c r="E1916" s="656" t="s">
        <v>2036</v>
      </c>
      <c r="F1916" s="655">
        <v>60584</v>
      </c>
      <c r="G1916" s="656" t="s">
        <v>41</v>
      </c>
      <c r="H1916" s="656" t="s">
        <v>1183</v>
      </c>
      <c r="I1916" s="656" t="s">
        <v>58</v>
      </c>
      <c r="J1916" s="655">
        <v>22</v>
      </c>
      <c r="K1916" s="655">
        <v>2</v>
      </c>
      <c r="L1916" s="656" t="s">
        <v>52</v>
      </c>
      <c r="M1916" s="656" t="s">
        <v>448</v>
      </c>
      <c r="N1916" s="656" t="s">
        <v>449</v>
      </c>
      <c r="O1916" s="656" t="s">
        <v>449</v>
      </c>
      <c r="P1916" s="656" t="s">
        <v>1176</v>
      </c>
      <c r="Q1916" s="657">
        <v>0</v>
      </c>
      <c r="R1916" s="657">
        <v>0</v>
      </c>
      <c r="S1916" s="657">
        <v>12706</v>
      </c>
      <c r="T1916" s="657">
        <v>12706</v>
      </c>
      <c r="U1916" s="657">
        <v>1437</v>
      </c>
      <c r="V1916" s="655">
        <v>2021</v>
      </c>
      <c r="W1916" s="659"/>
      <c r="X1916" s="660">
        <f t="shared" si="89"/>
        <v>8.8420320111343074</v>
      </c>
      <c r="Y1916" s="661" t="str">
        <f t="shared" si="87"/>
        <v/>
      </c>
      <c r="Z1916" s="661" t="str">
        <f t="shared" si="88"/>
        <v/>
      </c>
    </row>
    <row r="1917" spans="1:26" s="128" customFormat="1" ht="25" hidden="1">
      <c r="A1917" s="655">
        <v>62640</v>
      </c>
      <c r="B1917" s="656" t="s">
        <v>33</v>
      </c>
      <c r="C1917" s="655" t="s">
        <v>2793</v>
      </c>
      <c r="D1917" s="656" t="s">
        <v>2500</v>
      </c>
      <c r="E1917" s="656" t="s">
        <v>2036</v>
      </c>
      <c r="F1917" s="655">
        <v>60584</v>
      </c>
      <c r="G1917" s="656" t="s">
        <v>41</v>
      </c>
      <c r="H1917" s="656" t="s">
        <v>1183</v>
      </c>
      <c r="I1917" s="656" t="s">
        <v>58</v>
      </c>
      <c r="J1917" s="655">
        <v>22</v>
      </c>
      <c r="K1917" s="655">
        <v>2</v>
      </c>
      <c r="L1917" s="656" t="s">
        <v>52</v>
      </c>
      <c r="M1917" s="656" t="s">
        <v>448</v>
      </c>
      <c r="N1917" s="656" t="s">
        <v>449</v>
      </c>
      <c r="O1917" s="656" t="s">
        <v>449</v>
      </c>
      <c r="P1917" s="656" t="s">
        <v>1176</v>
      </c>
      <c r="Q1917" s="657">
        <v>0</v>
      </c>
      <c r="R1917" s="657">
        <v>0</v>
      </c>
      <c r="S1917" s="657">
        <v>14115</v>
      </c>
      <c r="T1917" s="657">
        <v>14115</v>
      </c>
      <c r="U1917" s="657">
        <v>1596</v>
      </c>
      <c r="V1917" s="655">
        <v>2021</v>
      </c>
      <c r="W1917" s="659"/>
      <c r="X1917" s="660">
        <f t="shared" si="89"/>
        <v>8.8439849624060152</v>
      </c>
      <c r="Y1917" s="661" t="str">
        <f t="shared" si="87"/>
        <v/>
      </c>
      <c r="Z1917" s="661" t="str">
        <f t="shared" si="88"/>
        <v/>
      </c>
    </row>
    <row r="1918" spans="1:26" s="128" customFormat="1" ht="25">
      <c r="A1918" s="655">
        <v>62644</v>
      </c>
      <c r="B1918" s="656" t="s">
        <v>33</v>
      </c>
      <c r="C1918" s="655" t="s">
        <v>2793</v>
      </c>
      <c r="D1918" s="656" t="s">
        <v>2909</v>
      </c>
      <c r="E1918" s="656" t="s">
        <v>2910</v>
      </c>
      <c r="F1918" s="655">
        <v>62122</v>
      </c>
      <c r="G1918" s="656" t="s">
        <v>81</v>
      </c>
      <c r="H1918" s="656" t="s">
        <v>1183</v>
      </c>
      <c r="I1918" s="656" t="s">
        <v>58</v>
      </c>
      <c r="J1918" s="655">
        <v>22</v>
      </c>
      <c r="K1918" s="655">
        <v>2</v>
      </c>
      <c r="L1918" s="656" t="s">
        <v>52</v>
      </c>
      <c r="M1918" s="656" t="s">
        <v>1890</v>
      </c>
      <c r="N1918" s="656" t="s">
        <v>1052</v>
      </c>
      <c r="O1918" s="656" t="s">
        <v>82</v>
      </c>
      <c r="P1918" s="656" t="s">
        <v>2794</v>
      </c>
      <c r="Q1918" s="657">
        <v>772</v>
      </c>
      <c r="R1918" s="657">
        <v>772</v>
      </c>
      <c r="S1918" s="657">
        <v>0</v>
      </c>
      <c r="T1918" s="657">
        <v>0</v>
      </c>
      <c r="U1918" s="657">
        <v>-164</v>
      </c>
      <c r="V1918" s="655">
        <v>2021</v>
      </c>
      <c r="W1918" s="659"/>
      <c r="X1918" s="660" t="str">
        <f t="shared" si="89"/>
        <v/>
      </c>
      <c r="Y1918" s="661" t="str">
        <f t="shared" si="87"/>
        <v/>
      </c>
      <c r="Z1918" s="661" t="str">
        <f t="shared" si="88"/>
        <v/>
      </c>
    </row>
    <row r="1919" spans="1:26" s="128" customFormat="1">
      <c r="A1919" s="655">
        <v>62646</v>
      </c>
      <c r="B1919" s="656" t="s">
        <v>33</v>
      </c>
      <c r="C1919" s="655" t="s">
        <v>2793</v>
      </c>
      <c r="D1919" s="656" t="s">
        <v>2501</v>
      </c>
      <c r="E1919" s="656" t="s">
        <v>3158</v>
      </c>
      <c r="F1919" s="655">
        <v>63359</v>
      </c>
      <c r="G1919" s="656" t="s">
        <v>81</v>
      </c>
      <c r="H1919" s="656" t="s">
        <v>1183</v>
      </c>
      <c r="I1919" s="656" t="s">
        <v>58</v>
      </c>
      <c r="J1919" s="655">
        <v>22</v>
      </c>
      <c r="K1919" s="655">
        <v>2</v>
      </c>
      <c r="L1919" s="656" t="s">
        <v>52</v>
      </c>
      <c r="M1919" s="656" t="s">
        <v>448</v>
      </c>
      <c r="N1919" s="656" t="s">
        <v>449</v>
      </c>
      <c r="O1919" s="656" t="s">
        <v>449</v>
      </c>
      <c r="P1919" s="656" t="s">
        <v>1176</v>
      </c>
      <c r="Q1919" s="657">
        <v>0</v>
      </c>
      <c r="R1919" s="657">
        <v>0</v>
      </c>
      <c r="S1919" s="657">
        <v>30278</v>
      </c>
      <c r="T1919" s="657">
        <v>30278</v>
      </c>
      <c r="U1919" s="657">
        <v>3424</v>
      </c>
      <c r="V1919" s="655">
        <v>2021</v>
      </c>
      <c r="W1919" s="659"/>
      <c r="X1919" s="660">
        <f t="shared" si="89"/>
        <v>8.8428738317757016</v>
      </c>
      <c r="Y1919" s="661" t="str">
        <f t="shared" si="87"/>
        <v/>
      </c>
      <c r="Z1919" s="661" t="str">
        <f t="shared" si="88"/>
        <v/>
      </c>
    </row>
    <row r="1920" spans="1:26" s="128" customFormat="1" ht="25">
      <c r="A1920" s="655">
        <v>62652</v>
      </c>
      <c r="B1920" s="656" t="s">
        <v>33</v>
      </c>
      <c r="C1920" s="655" t="s">
        <v>2793</v>
      </c>
      <c r="D1920" s="656" t="s">
        <v>2911</v>
      </c>
      <c r="E1920" s="656" t="s">
        <v>3158</v>
      </c>
      <c r="F1920" s="655">
        <v>63359</v>
      </c>
      <c r="G1920" s="656" t="s">
        <v>81</v>
      </c>
      <c r="H1920" s="656" t="s">
        <v>1183</v>
      </c>
      <c r="I1920" s="656" t="s">
        <v>58</v>
      </c>
      <c r="J1920" s="655">
        <v>22</v>
      </c>
      <c r="K1920" s="655">
        <v>2</v>
      </c>
      <c r="L1920" s="656" t="s">
        <v>52</v>
      </c>
      <c r="M1920" s="656" t="s">
        <v>1890</v>
      </c>
      <c r="N1920" s="656" t="s">
        <v>1052</v>
      </c>
      <c r="O1920" s="656" t="s">
        <v>82</v>
      </c>
      <c r="P1920" s="656" t="s">
        <v>2794</v>
      </c>
      <c r="Q1920" s="657">
        <v>0</v>
      </c>
      <c r="R1920" s="657">
        <v>0</v>
      </c>
      <c r="S1920" s="657">
        <v>0</v>
      </c>
      <c r="T1920" s="657">
        <v>0</v>
      </c>
      <c r="U1920" s="657">
        <v>0</v>
      </c>
      <c r="V1920" s="655">
        <v>2021</v>
      </c>
      <c r="W1920" s="659"/>
      <c r="X1920" s="660" t="str">
        <f t="shared" si="89"/>
        <v/>
      </c>
      <c r="Y1920" s="661" t="str">
        <f t="shared" si="87"/>
        <v/>
      </c>
      <c r="Z1920" s="661" t="str">
        <f t="shared" si="88"/>
        <v/>
      </c>
    </row>
    <row r="1921" spans="1:26" s="128" customFormat="1">
      <c r="A1921" s="655">
        <v>62652</v>
      </c>
      <c r="B1921" s="656" t="s">
        <v>33</v>
      </c>
      <c r="C1921" s="655" t="s">
        <v>2793</v>
      </c>
      <c r="D1921" s="656" t="s">
        <v>2911</v>
      </c>
      <c r="E1921" s="656" t="s">
        <v>3158</v>
      </c>
      <c r="F1921" s="655">
        <v>63359</v>
      </c>
      <c r="G1921" s="656" t="s">
        <v>81</v>
      </c>
      <c r="H1921" s="656" t="s">
        <v>1183</v>
      </c>
      <c r="I1921" s="656" t="s">
        <v>58</v>
      </c>
      <c r="J1921" s="655">
        <v>22</v>
      </c>
      <c r="K1921" s="655">
        <v>2</v>
      </c>
      <c r="L1921" s="656" t="s">
        <v>52</v>
      </c>
      <c r="M1921" s="656" t="s">
        <v>448</v>
      </c>
      <c r="N1921" s="656" t="s">
        <v>449</v>
      </c>
      <c r="O1921" s="656" t="s">
        <v>449</v>
      </c>
      <c r="P1921" s="656" t="s">
        <v>1176</v>
      </c>
      <c r="Q1921" s="657">
        <v>0</v>
      </c>
      <c r="R1921" s="657">
        <v>0</v>
      </c>
      <c r="S1921" s="657">
        <v>69604</v>
      </c>
      <c r="T1921" s="657">
        <v>69604</v>
      </c>
      <c r="U1921" s="657">
        <v>7871</v>
      </c>
      <c r="V1921" s="655">
        <v>2021</v>
      </c>
      <c r="W1921" s="659"/>
      <c r="X1921" s="660">
        <f t="shared" si="89"/>
        <v>8.8430949053487478</v>
      </c>
      <c r="Y1921" s="661" t="str">
        <f t="shared" si="87"/>
        <v/>
      </c>
      <c r="Z1921" s="661" t="str">
        <f t="shared" si="88"/>
        <v/>
      </c>
    </row>
    <row r="1922" spans="1:26" s="128" customFormat="1" hidden="1">
      <c r="A1922" s="655">
        <v>62657</v>
      </c>
      <c r="B1922" s="656" t="s">
        <v>33</v>
      </c>
      <c r="C1922" s="655" t="s">
        <v>2793</v>
      </c>
      <c r="D1922" s="656" t="s">
        <v>2912</v>
      </c>
      <c r="E1922" s="656" t="s">
        <v>2913</v>
      </c>
      <c r="F1922" s="655">
        <v>62132</v>
      </c>
      <c r="G1922" s="656" t="s">
        <v>41</v>
      </c>
      <c r="H1922" s="656" t="s">
        <v>1183</v>
      </c>
      <c r="I1922" s="656" t="s">
        <v>58</v>
      </c>
      <c r="J1922" s="655">
        <v>22</v>
      </c>
      <c r="K1922" s="655">
        <v>2</v>
      </c>
      <c r="L1922" s="656" t="s">
        <v>52</v>
      </c>
      <c r="M1922" s="656" t="s">
        <v>448</v>
      </c>
      <c r="N1922" s="656" t="s">
        <v>449</v>
      </c>
      <c r="O1922" s="656" t="s">
        <v>449</v>
      </c>
      <c r="P1922" s="656" t="s">
        <v>1176</v>
      </c>
      <c r="Q1922" s="657">
        <v>0</v>
      </c>
      <c r="R1922" s="657">
        <v>0</v>
      </c>
      <c r="S1922" s="657">
        <v>422210</v>
      </c>
      <c r="T1922" s="657">
        <v>422210</v>
      </c>
      <c r="U1922" s="657">
        <v>47745</v>
      </c>
      <c r="V1922" s="655">
        <v>2021</v>
      </c>
      <c r="W1922" s="659"/>
      <c r="X1922" s="660">
        <f t="shared" si="89"/>
        <v>8.843020211540475</v>
      </c>
      <c r="Y1922" s="661" t="str">
        <f t="shared" si="87"/>
        <v/>
      </c>
      <c r="Z1922" s="661" t="str">
        <f t="shared" si="88"/>
        <v/>
      </c>
    </row>
    <row r="1923" spans="1:26" s="128" customFormat="1" ht="25" hidden="1">
      <c r="A1923" s="655">
        <v>62672</v>
      </c>
      <c r="B1923" s="656" t="s">
        <v>33</v>
      </c>
      <c r="C1923" s="655" t="s">
        <v>2793</v>
      </c>
      <c r="D1923" s="656" t="s">
        <v>3395</v>
      </c>
      <c r="E1923" s="656" t="s">
        <v>2247</v>
      </c>
      <c r="F1923" s="655">
        <v>61227</v>
      </c>
      <c r="G1923" s="656" t="s">
        <v>131</v>
      </c>
      <c r="H1923" s="656" t="s">
        <v>1183</v>
      </c>
      <c r="I1923" s="656" t="s">
        <v>58</v>
      </c>
      <c r="J1923" s="655">
        <v>22</v>
      </c>
      <c r="K1923" s="655">
        <v>2</v>
      </c>
      <c r="L1923" s="656" t="s">
        <v>52</v>
      </c>
      <c r="M1923" s="656" t="s">
        <v>448</v>
      </c>
      <c r="N1923" s="656" t="s">
        <v>449</v>
      </c>
      <c r="O1923" s="656" t="s">
        <v>449</v>
      </c>
      <c r="P1923" s="656" t="s">
        <v>1176</v>
      </c>
      <c r="Q1923" s="657">
        <v>0</v>
      </c>
      <c r="R1923" s="657">
        <v>0</v>
      </c>
      <c r="S1923" s="657">
        <v>36601</v>
      </c>
      <c r="T1923" s="657">
        <v>36601</v>
      </c>
      <c r="U1923" s="657">
        <v>4139</v>
      </c>
      <c r="V1923" s="655">
        <v>2021</v>
      </c>
      <c r="W1923" s="659"/>
      <c r="X1923" s="660">
        <f t="shared" si="89"/>
        <v>8.8429572360473543</v>
      </c>
      <c r="Y1923" s="661" t="str">
        <f t="shared" si="87"/>
        <v/>
      </c>
      <c r="Z1923" s="661" t="str">
        <f t="shared" si="88"/>
        <v/>
      </c>
    </row>
    <row r="1924" spans="1:26" s="128" customFormat="1" ht="25">
      <c r="A1924" s="655">
        <v>62695</v>
      </c>
      <c r="B1924" s="656" t="s">
        <v>33</v>
      </c>
      <c r="C1924" s="655" t="s">
        <v>2793</v>
      </c>
      <c r="D1924" s="656" t="s">
        <v>2914</v>
      </c>
      <c r="E1924" s="656" t="s">
        <v>1128</v>
      </c>
      <c r="F1924" s="655">
        <v>56769</v>
      </c>
      <c r="G1924" s="656" t="s">
        <v>81</v>
      </c>
      <c r="H1924" s="656" t="s">
        <v>1183</v>
      </c>
      <c r="I1924" s="656" t="s">
        <v>58</v>
      </c>
      <c r="J1924" s="655">
        <v>22</v>
      </c>
      <c r="K1924" s="655">
        <v>2</v>
      </c>
      <c r="L1924" s="656" t="s">
        <v>52</v>
      </c>
      <c r="M1924" s="656" t="s">
        <v>1890</v>
      </c>
      <c r="N1924" s="656" t="s">
        <v>1052</v>
      </c>
      <c r="O1924" s="656" t="s">
        <v>82</v>
      </c>
      <c r="P1924" s="656" t="s">
        <v>2794</v>
      </c>
      <c r="Q1924" s="657">
        <v>0</v>
      </c>
      <c r="R1924" s="657">
        <v>0</v>
      </c>
      <c r="S1924" s="657">
        <v>0</v>
      </c>
      <c r="T1924" s="657">
        <v>0</v>
      </c>
      <c r="U1924" s="657">
        <v>0</v>
      </c>
      <c r="V1924" s="655">
        <v>2021</v>
      </c>
      <c r="W1924" s="659"/>
      <c r="X1924" s="660" t="str">
        <f t="shared" si="89"/>
        <v/>
      </c>
      <c r="Y1924" s="661" t="str">
        <f t="shared" si="87"/>
        <v/>
      </c>
      <c r="Z1924" s="661" t="str">
        <f t="shared" si="88"/>
        <v/>
      </c>
    </row>
    <row r="1925" spans="1:26" s="128" customFormat="1" ht="25">
      <c r="A1925" s="655">
        <v>62695</v>
      </c>
      <c r="B1925" s="656" t="s">
        <v>33</v>
      </c>
      <c r="C1925" s="655" t="s">
        <v>2793</v>
      </c>
      <c r="D1925" s="656" t="s">
        <v>2914</v>
      </c>
      <c r="E1925" s="656" t="s">
        <v>1128</v>
      </c>
      <c r="F1925" s="655">
        <v>56769</v>
      </c>
      <c r="G1925" s="656" t="s">
        <v>81</v>
      </c>
      <c r="H1925" s="656" t="s">
        <v>1183</v>
      </c>
      <c r="I1925" s="656" t="s">
        <v>58</v>
      </c>
      <c r="J1925" s="655">
        <v>22</v>
      </c>
      <c r="K1925" s="655">
        <v>2</v>
      </c>
      <c r="L1925" s="656" t="s">
        <v>52</v>
      </c>
      <c r="M1925" s="656" t="s">
        <v>448</v>
      </c>
      <c r="N1925" s="656" t="s">
        <v>449</v>
      </c>
      <c r="O1925" s="656" t="s">
        <v>449</v>
      </c>
      <c r="P1925" s="656" t="s">
        <v>1176</v>
      </c>
      <c r="Q1925" s="657">
        <v>0</v>
      </c>
      <c r="R1925" s="657">
        <v>0</v>
      </c>
      <c r="S1925" s="657">
        <v>58161</v>
      </c>
      <c r="T1925" s="657">
        <v>58161</v>
      </c>
      <c r="U1925" s="657">
        <v>6577</v>
      </c>
      <c r="V1925" s="655">
        <v>2021</v>
      </c>
      <c r="W1925" s="659"/>
      <c r="X1925" s="660">
        <f t="shared" si="89"/>
        <v>8.8430895545081345</v>
      </c>
      <c r="Y1925" s="661" t="str">
        <f t="shared" si="87"/>
        <v/>
      </c>
      <c r="Z1925" s="661" t="str">
        <f t="shared" si="88"/>
        <v/>
      </c>
    </row>
    <row r="1926" spans="1:26" s="128" customFormat="1" ht="25" hidden="1">
      <c r="A1926" s="655">
        <v>62721</v>
      </c>
      <c r="B1926" s="656" t="s">
        <v>33</v>
      </c>
      <c r="C1926" s="655" t="s">
        <v>2793</v>
      </c>
      <c r="D1926" s="656" t="s">
        <v>2915</v>
      </c>
      <c r="E1926" s="656" t="s">
        <v>1944</v>
      </c>
      <c r="F1926" s="655">
        <v>59474</v>
      </c>
      <c r="G1926" s="656" t="s">
        <v>57</v>
      </c>
      <c r="H1926" s="656" t="s">
        <v>1182</v>
      </c>
      <c r="I1926" s="656" t="s">
        <v>58</v>
      </c>
      <c r="J1926" s="655">
        <v>22</v>
      </c>
      <c r="K1926" s="655">
        <v>2</v>
      </c>
      <c r="L1926" s="656" t="s">
        <v>52</v>
      </c>
      <c r="M1926" s="656" t="s">
        <v>448</v>
      </c>
      <c r="N1926" s="656" t="s">
        <v>449</v>
      </c>
      <c r="O1926" s="656" t="s">
        <v>449</v>
      </c>
      <c r="P1926" s="656" t="s">
        <v>1176</v>
      </c>
      <c r="Q1926" s="657">
        <v>0</v>
      </c>
      <c r="R1926" s="657">
        <v>0</v>
      </c>
      <c r="S1926" s="657">
        <v>11221</v>
      </c>
      <c r="T1926" s="657">
        <v>11221</v>
      </c>
      <c r="U1926" s="657">
        <v>1269</v>
      </c>
      <c r="V1926" s="655">
        <v>2021</v>
      </c>
      <c r="W1926" s="659"/>
      <c r="X1926" s="660">
        <f t="shared" si="89"/>
        <v>8.8423955870764388</v>
      </c>
      <c r="Y1926" s="661" t="str">
        <f t="shared" si="87"/>
        <v/>
      </c>
      <c r="Z1926" s="661" t="str">
        <f t="shared" si="88"/>
        <v/>
      </c>
    </row>
    <row r="1927" spans="1:26" s="128" customFormat="1" ht="25" hidden="1">
      <c r="A1927" s="655">
        <v>62722</v>
      </c>
      <c r="B1927" s="656" t="s">
        <v>33</v>
      </c>
      <c r="C1927" s="655" t="s">
        <v>2793</v>
      </c>
      <c r="D1927" s="656" t="s">
        <v>2916</v>
      </c>
      <c r="E1927" s="656" t="s">
        <v>1944</v>
      </c>
      <c r="F1927" s="655">
        <v>59474</v>
      </c>
      <c r="G1927" s="656" t="s">
        <v>57</v>
      </c>
      <c r="H1927" s="656" t="s">
        <v>1182</v>
      </c>
      <c r="I1927" s="656" t="s">
        <v>58</v>
      </c>
      <c r="J1927" s="655">
        <v>22</v>
      </c>
      <c r="K1927" s="655">
        <v>2</v>
      </c>
      <c r="L1927" s="656" t="s">
        <v>52</v>
      </c>
      <c r="M1927" s="656" t="s">
        <v>448</v>
      </c>
      <c r="N1927" s="656" t="s">
        <v>449</v>
      </c>
      <c r="O1927" s="656" t="s">
        <v>449</v>
      </c>
      <c r="P1927" s="656" t="s">
        <v>1176</v>
      </c>
      <c r="Q1927" s="657">
        <v>0</v>
      </c>
      <c r="R1927" s="657">
        <v>0</v>
      </c>
      <c r="S1927" s="657">
        <v>17519</v>
      </c>
      <c r="T1927" s="657">
        <v>17519</v>
      </c>
      <c r="U1927" s="657">
        <v>1981</v>
      </c>
      <c r="V1927" s="655">
        <v>2021</v>
      </c>
      <c r="W1927" s="659"/>
      <c r="X1927" s="660">
        <f t="shared" si="89"/>
        <v>8.8435133770822816</v>
      </c>
      <c r="Y1927" s="661" t="str">
        <f t="shared" ref="Y1927:Y1990" si="90">IF(AND($M1927=$Y$2,$N1927=$Y$3,NOT($Q1927=$R1927),NOT($U1927=0)),IF($K1927=5,$S1927/($U1927+(8/5)*$U1927),IF($K1927=7,$S1927/($U1927+(29/25)*$U1927),"")),"")</f>
        <v/>
      </c>
      <c r="Z1927" s="661" t="str">
        <f t="shared" ref="Z1927:Z1990" si="91">IF(AND($M1927=$Y$2,$N1927=$Y$4,NOT($Q1927=$R1927),NOT($U1927=0)),IF($K1927=5,$S1927/($U1927+(8/5)*$U1927),IF($K1927=7,$S1927/($U1927+(29/25)*$U1927),"")),"")</f>
        <v/>
      </c>
    </row>
    <row r="1928" spans="1:26" s="128" customFormat="1" ht="25" hidden="1">
      <c r="A1928" s="655">
        <v>62723</v>
      </c>
      <c r="B1928" s="656" t="s">
        <v>33</v>
      </c>
      <c r="C1928" s="655" t="s">
        <v>2793</v>
      </c>
      <c r="D1928" s="656" t="s">
        <v>2917</v>
      </c>
      <c r="E1928" s="656" t="s">
        <v>1944</v>
      </c>
      <c r="F1928" s="655">
        <v>59474</v>
      </c>
      <c r="G1928" s="656" t="s">
        <v>57</v>
      </c>
      <c r="H1928" s="656" t="s">
        <v>1182</v>
      </c>
      <c r="I1928" s="656" t="s">
        <v>58</v>
      </c>
      <c r="J1928" s="655">
        <v>22</v>
      </c>
      <c r="K1928" s="655">
        <v>2</v>
      </c>
      <c r="L1928" s="656" t="s">
        <v>52</v>
      </c>
      <c r="M1928" s="656" t="s">
        <v>448</v>
      </c>
      <c r="N1928" s="656" t="s">
        <v>449</v>
      </c>
      <c r="O1928" s="656" t="s">
        <v>449</v>
      </c>
      <c r="P1928" s="656" t="s">
        <v>1176</v>
      </c>
      <c r="Q1928" s="657">
        <v>0</v>
      </c>
      <c r="R1928" s="657">
        <v>0</v>
      </c>
      <c r="S1928" s="657">
        <v>17148</v>
      </c>
      <c r="T1928" s="657">
        <v>17148</v>
      </c>
      <c r="U1928" s="657">
        <v>1939</v>
      </c>
      <c r="V1928" s="655">
        <v>2021</v>
      </c>
      <c r="W1928" s="659"/>
      <c r="X1928" s="660">
        <f t="shared" ref="X1928:X1991" si="92">IF(OR(K1928&gt;3,T1928=0,NOT(U1928&gt;0)),"",T1928/U1928)</f>
        <v>8.8437338834450756</v>
      </c>
      <c r="Y1928" s="661" t="str">
        <f t="shared" si="90"/>
        <v/>
      </c>
      <c r="Z1928" s="661" t="str">
        <f t="shared" si="91"/>
        <v/>
      </c>
    </row>
    <row r="1929" spans="1:26" s="128" customFormat="1" hidden="1">
      <c r="A1929" s="655">
        <v>62724</v>
      </c>
      <c r="B1929" s="656" t="s">
        <v>33</v>
      </c>
      <c r="C1929" s="655" t="s">
        <v>2793</v>
      </c>
      <c r="D1929" s="656" t="s">
        <v>2918</v>
      </c>
      <c r="E1929" s="656" t="s">
        <v>1944</v>
      </c>
      <c r="F1929" s="655">
        <v>59474</v>
      </c>
      <c r="G1929" s="656" t="s">
        <v>57</v>
      </c>
      <c r="H1929" s="656" t="s">
        <v>1182</v>
      </c>
      <c r="I1929" s="656" t="s">
        <v>58</v>
      </c>
      <c r="J1929" s="655">
        <v>22</v>
      </c>
      <c r="K1929" s="655">
        <v>2</v>
      </c>
      <c r="L1929" s="656" t="s">
        <v>52</v>
      </c>
      <c r="M1929" s="656" t="s">
        <v>448</v>
      </c>
      <c r="N1929" s="656" t="s">
        <v>449</v>
      </c>
      <c r="O1929" s="656" t="s">
        <v>449</v>
      </c>
      <c r="P1929" s="656" t="s">
        <v>1176</v>
      </c>
      <c r="Q1929" s="657">
        <v>0</v>
      </c>
      <c r="R1929" s="657">
        <v>0</v>
      </c>
      <c r="S1929" s="657">
        <v>13566</v>
      </c>
      <c r="T1929" s="657">
        <v>13566</v>
      </c>
      <c r="U1929" s="657">
        <v>1534</v>
      </c>
      <c r="V1929" s="655">
        <v>2021</v>
      </c>
      <c r="W1929" s="659"/>
      <c r="X1929" s="660">
        <f t="shared" si="92"/>
        <v>8.8435462842242512</v>
      </c>
      <c r="Y1929" s="661" t="str">
        <f t="shared" si="90"/>
        <v/>
      </c>
      <c r="Z1929" s="661" t="str">
        <f t="shared" si="91"/>
        <v/>
      </c>
    </row>
    <row r="1930" spans="1:26" s="128" customFormat="1" hidden="1">
      <c r="A1930" s="655">
        <v>62725</v>
      </c>
      <c r="B1930" s="656" t="s">
        <v>33</v>
      </c>
      <c r="C1930" s="655" t="s">
        <v>2793</v>
      </c>
      <c r="D1930" s="656" t="s">
        <v>2919</v>
      </c>
      <c r="E1930" s="656" t="s">
        <v>1944</v>
      </c>
      <c r="F1930" s="655">
        <v>59474</v>
      </c>
      <c r="G1930" s="656" t="s">
        <v>57</v>
      </c>
      <c r="H1930" s="656" t="s">
        <v>1182</v>
      </c>
      <c r="I1930" s="656" t="s">
        <v>58</v>
      </c>
      <c r="J1930" s="655">
        <v>22</v>
      </c>
      <c r="K1930" s="655">
        <v>2</v>
      </c>
      <c r="L1930" s="656" t="s">
        <v>52</v>
      </c>
      <c r="M1930" s="656" t="s">
        <v>448</v>
      </c>
      <c r="N1930" s="656" t="s">
        <v>449</v>
      </c>
      <c r="O1930" s="656" t="s">
        <v>449</v>
      </c>
      <c r="P1930" s="656" t="s">
        <v>1176</v>
      </c>
      <c r="Q1930" s="657">
        <v>0</v>
      </c>
      <c r="R1930" s="657">
        <v>0</v>
      </c>
      <c r="S1930" s="657">
        <v>13749</v>
      </c>
      <c r="T1930" s="657">
        <v>13749</v>
      </c>
      <c r="U1930" s="657">
        <v>1555</v>
      </c>
      <c r="V1930" s="655">
        <v>2021</v>
      </c>
      <c r="W1930" s="659"/>
      <c r="X1930" s="660">
        <f t="shared" si="92"/>
        <v>8.8418006430868168</v>
      </c>
      <c r="Y1930" s="661" t="str">
        <f t="shared" si="90"/>
        <v/>
      </c>
      <c r="Z1930" s="661" t="str">
        <f t="shared" si="91"/>
        <v/>
      </c>
    </row>
    <row r="1931" spans="1:26" s="128" customFormat="1" hidden="1">
      <c r="A1931" s="655">
        <v>62728</v>
      </c>
      <c r="B1931" s="656" t="s">
        <v>33</v>
      </c>
      <c r="C1931" s="655" t="s">
        <v>2793</v>
      </c>
      <c r="D1931" s="656" t="s">
        <v>2920</v>
      </c>
      <c r="E1931" s="656" t="s">
        <v>2921</v>
      </c>
      <c r="F1931" s="655">
        <v>60531</v>
      </c>
      <c r="G1931" s="656" t="s">
        <v>89</v>
      </c>
      <c r="H1931" s="656" t="s">
        <v>1183</v>
      </c>
      <c r="I1931" s="656" t="s">
        <v>58</v>
      </c>
      <c r="J1931" s="655">
        <v>22</v>
      </c>
      <c r="K1931" s="655">
        <v>2</v>
      </c>
      <c r="L1931" s="656" t="s">
        <v>52</v>
      </c>
      <c r="M1931" s="656" t="s">
        <v>448</v>
      </c>
      <c r="N1931" s="656" t="s">
        <v>449</v>
      </c>
      <c r="O1931" s="656" t="s">
        <v>449</v>
      </c>
      <c r="P1931" s="656" t="s">
        <v>1176</v>
      </c>
      <c r="Q1931" s="657">
        <v>0</v>
      </c>
      <c r="R1931" s="657">
        <v>0</v>
      </c>
      <c r="S1931" s="657">
        <v>30233</v>
      </c>
      <c r="T1931" s="657">
        <v>30233</v>
      </c>
      <c r="U1931" s="657">
        <v>3419</v>
      </c>
      <c r="V1931" s="655">
        <v>2021</v>
      </c>
      <c r="W1931" s="659"/>
      <c r="X1931" s="660">
        <f t="shared" si="92"/>
        <v>8.8426440479672426</v>
      </c>
      <c r="Y1931" s="661" t="str">
        <f t="shared" si="90"/>
        <v/>
      </c>
      <c r="Z1931" s="661" t="str">
        <f t="shared" si="91"/>
        <v/>
      </c>
    </row>
    <row r="1932" spans="1:26" s="128" customFormat="1" ht="25" hidden="1">
      <c r="A1932" s="655">
        <v>62733</v>
      </c>
      <c r="B1932" s="656" t="s">
        <v>33</v>
      </c>
      <c r="C1932" s="655" t="s">
        <v>2793</v>
      </c>
      <c r="D1932" s="656" t="s">
        <v>2922</v>
      </c>
      <c r="E1932" s="656" t="s">
        <v>2923</v>
      </c>
      <c r="F1932" s="655">
        <v>62652</v>
      </c>
      <c r="G1932" s="656" t="s">
        <v>57</v>
      </c>
      <c r="H1932" s="656" t="s">
        <v>1182</v>
      </c>
      <c r="I1932" s="656" t="s">
        <v>58</v>
      </c>
      <c r="J1932" s="655">
        <v>22</v>
      </c>
      <c r="K1932" s="655">
        <v>2</v>
      </c>
      <c r="L1932" s="656" t="s">
        <v>52</v>
      </c>
      <c r="M1932" s="656" t="s">
        <v>1890</v>
      </c>
      <c r="N1932" s="656" t="s">
        <v>1052</v>
      </c>
      <c r="O1932" s="656" t="s">
        <v>82</v>
      </c>
      <c r="P1932" s="656" t="s">
        <v>2794</v>
      </c>
      <c r="Q1932" s="657">
        <v>6323</v>
      </c>
      <c r="R1932" s="657">
        <v>6323</v>
      </c>
      <c r="S1932" s="657">
        <v>0</v>
      </c>
      <c r="T1932" s="657">
        <v>0</v>
      </c>
      <c r="U1932" s="657">
        <v>-314</v>
      </c>
      <c r="V1932" s="655">
        <v>2021</v>
      </c>
      <c r="W1932" s="659"/>
      <c r="X1932" s="660" t="str">
        <f t="shared" si="92"/>
        <v/>
      </c>
      <c r="Y1932" s="661" t="str">
        <f t="shared" si="90"/>
        <v/>
      </c>
      <c r="Z1932" s="661" t="str">
        <f t="shared" si="91"/>
        <v/>
      </c>
    </row>
    <row r="1933" spans="1:26" s="128" customFormat="1" ht="25" hidden="1">
      <c r="A1933" s="655">
        <v>62734</v>
      </c>
      <c r="B1933" s="656" t="s">
        <v>33</v>
      </c>
      <c r="C1933" s="655" t="s">
        <v>2793</v>
      </c>
      <c r="D1933" s="656" t="s">
        <v>2924</v>
      </c>
      <c r="E1933" s="656" t="s">
        <v>2925</v>
      </c>
      <c r="F1933" s="655">
        <v>62651</v>
      </c>
      <c r="G1933" s="656" t="s">
        <v>57</v>
      </c>
      <c r="H1933" s="656" t="s">
        <v>1182</v>
      </c>
      <c r="I1933" s="656" t="s">
        <v>58</v>
      </c>
      <c r="J1933" s="655">
        <v>22</v>
      </c>
      <c r="K1933" s="655">
        <v>2</v>
      </c>
      <c r="L1933" s="656" t="s">
        <v>52</v>
      </c>
      <c r="M1933" s="656" t="s">
        <v>1890</v>
      </c>
      <c r="N1933" s="656" t="s">
        <v>1052</v>
      </c>
      <c r="O1933" s="656" t="s">
        <v>82</v>
      </c>
      <c r="P1933" s="656" t="s">
        <v>2794</v>
      </c>
      <c r="Q1933" s="657">
        <v>5033</v>
      </c>
      <c r="R1933" s="657">
        <v>5033</v>
      </c>
      <c r="S1933" s="657">
        <v>0</v>
      </c>
      <c r="T1933" s="657">
        <v>0</v>
      </c>
      <c r="U1933" s="657">
        <v>-762</v>
      </c>
      <c r="V1933" s="655">
        <v>2021</v>
      </c>
      <c r="W1933" s="659"/>
      <c r="X1933" s="660" t="str">
        <f t="shared" si="92"/>
        <v/>
      </c>
      <c r="Y1933" s="661" t="str">
        <f t="shared" si="90"/>
        <v/>
      </c>
      <c r="Z1933" s="661" t="str">
        <f t="shared" si="91"/>
        <v/>
      </c>
    </row>
    <row r="1934" spans="1:26" s="128" customFormat="1" hidden="1">
      <c r="A1934" s="655">
        <v>62736</v>
      </c>
      <c r="B1934" s="656" t="s">
        <v>54</v>
      </c>
      <c r="C1934" s="655" t="s">
        <v>2793</v>
      </c>
      <c r="D1934" s="656" t="s">
        <v>2926</v>
      </c>
      <c r="E1934" s="656" t="s">
        <v>2926</v>
      </c>
      <c r="F1934" s="655">
        <v>62657</v>
      </c>
      <c r="G1934" s="656" t="s">
        <v>57</v>
      </c>
      <c r="H1934" s="656" t="s">
        <v>1182</v>
      </c>
      <c r="I1934" s="656" t="s">
        <v>58</v>
      </c>
      <c r="J1934" s="655">
        <v>326</v>
      </c>
      <c r="K1934" s="655">
        <v>7</v>
      </c>
      <c r="L1934" s="656" t="s">
        <v>409</v>
      </c>
      <c r="M1934" s="656" t="s">
        <v>50</v>
      </c>
      <c r="N1934" s="656" t="s">
        <v>39</v>
      </c>
      <c r="O1934" s="656" t="s">
        <v>39</v>
      </c>
      <c r="P1934" s="656" t="s">
        <v>1037</v>
      </c>
      <c r="Q1934" s="657">
        <v>10877</v>
      </c>
      <c r="R1934" s="657">
        <v>3450</v>
      </c>
      <c r="S1934" s="657">
        <v>11226</v>
      </c>
      <c r="T1934" s="657">
        <v>3559</v>
      </c>
      <c r="U1934" s="657">
        <v>313</v>
      </c>
      <c r="V1934" s="655">
        <v>2021</v>
      </c>
      <c r="W1934" s="659"/>
      <c r="X1934" s="660" t="str">
        <f t="shared" si="92"/>
        <v/>
      </c>
      <c r="Y1934" s="661">
        <f t="shared" si="90"/>
        <v>16.604543840965569</v>
      </c>
      <c r="Z1934" s="661" t="str">
        <f t="shared" si="91"/>
        <v/>
      </c>
    </row>
    <row r="1935" spans="1:26" s="128" customFormat="1" hidden="1">
      <c r="A1935" s="655">
        <v>62736</v>
      </c>
      <c r="B1935" s="656" t="s">
        <v>54</v>
      </c>
      <c r="C1935" s="655" t="s">
        <v>2793</v>
      </c>
      <c r="D1935" s="656" t="s">
        <v>2926</v>
      </c>
      <c r="E1935" s="656" t="s">
        <v>2926</v>
      </c>
      <c r="F1935" s="655">
        <v>62657</v>
      </c>
      <c r="G1935" s="656" t="s">
        <v>57</v>
      </c>
      <c r="H1935" s="656" t="s">
        <v>1182</v>
      </c>
      <c r="I1935" s="656" t="s">
        <v>58</v>
      </c>
      <c r="J1935" s="655">
        <v>326</v>
      </c>
      <c r="K1935" s="655">
        <v>7</v>
      </c>
      <c r="L1935" s="656" t="s">
        <v>409</v>
      </c>
      <c r="M1935" s="656" t="s">
        <v>71</v>
      </c>
      <c r="N1935" s="656" t="s">
        <v>72</v>
      </c>
      <c r="O1935" s="656" t="s">
        <v>72</v>
      </c>
      <c r="P1935" s="656" t="s">
        <v>1176</v>
      </c>
      <c r="Q1935" s="657">
        <v>0</v>
      </c>
      <c r="R1935" s="657">
        <v>0</v>
      </c>
      <c r="S1935" s="657">
        <v>4714</v>
      </c>
      <c r="T1935" s="657">
        <v>4714</v>
      </c>
      <c r="U1935" s="657">
        <v>533</v>
      </c>
      <c r="V1935" s="655">
        <v>2021</v>
      </c>
      <c r="W1935" s="659"/>
      <c r="X1935" s="660" t="str">
        <f t="shared" si="92"/>
        <v/>
      </c>
      <c r="Y1935" s="661" t="str">
        <f t="shared" si="90"/>
        <v/>
      </c>
      <c r="Z1935" s="661" t="str">
        <f t="shared" si="91"/>
        <v/>
      </c>
    </row>
    <row r="1936" spans="1:26" s="128" customFormat="1" ht="25" hidden="1">
      <c r="A1936" s="655">
        <v>62757</v>
      </c>
      <c r="B1936" s="656" t="s">
        <v>54</v>
      </c>
      <c r="C1936" s="655" t="s">
        <v>2793</v>
      </c>
      <c r="D1936" s="656" t="s">
        <v>3159</v>
      </c>
      <c r="E1936" s="656" t="s">
        <v>3160</v>
      </c>
      <c r="F1936" s="655">
        <v>62677</v>
      </c>
      <c r="G1936" s="656" t="s">
        <v>81</v>
      </c>
      <c r="H1936" s="656" t="s">
        <v>1183</v>
      </c>
      <c r="I1936" s="656" t="s">
        <v>58</v>
      </c>
      <c r="J1936" s="655">
        <v>92214</v>
      </c>
      <c r="K1936" s="655">
        <v>5</v>
      </c>
      <c r="L1936" s="656" t="s">
        <v>413</v>
      </c>
      <c r="M1936" s="656" t="s">
        <v>50</v>
      </c>
      <c r="N1936" s="656" t="s">
        <v>39</v>
      </c>
      <c r="O1936" s="656" t="s">
        <v>39</v>
      </c>
      <c r="P1936" s="656" t="s">
        <v>1037</v>
      </c>
      <c r="Q1936" s="657">
        <v>108319</v>
      </c>
      <c r="R1936" s="657">
        <v>70230</v>
      </c>
      <c r="S1936" s="657">
        <v>108319</v>
      </c>
      <c r="T1936" s="657">
        <v>70230</v>
      </c>
      <c r="U1936" s="657">
        <v>6051.5</v>
      </c>
      <c r="V1936" s="655">
        <v>2021</v>
      </c>
      <c r="W1936" s="659"/>
      <c r="X1936" s="660" t="str">
        <f t="shared" si="92"/>
        <v/>
      </c>
      <c r="Y1936" s="661">
        <f t="shared" si="90"/>
        <v>6.88443424707161</v>
      </c>
      <c r="Z1936" s="661" t="str">
        <f t="shared" si="91"/>
        <v/>
      </c>
    </row>
    <row r="1937" spans="1:26" s="128" customFormat="1" ht="25" hidden="1">
      <c r="A1937" s="655">
        <v>62759</v>
      </c>
      <c r="B1937" s="656" t="s">
        <v>33</v>
      </c>
      <c r="C1937" s="655" t="s">
        <v>2793</v>
      </c>
      <c r="D1937" s="656" t="s">
        <v>2927</v>
      </c>
      <c r="E1937" s="656" t="s">
        <v>1989</v>
      </c>
      <c r="F1937" s="655">
        <v>60281</v>
      </c>
      <c r="G1937" s="656" t="s">
        <v>57</v>
      </c>
      <c r="H1937" s="656" t="s">
        <v>1182</v>
      </c>
      <c r="I1937" s="656" t="s">
        <v>58</v>
      </c>
      <c r="J1937" s="655">
        <v>22</v>
      </c>
      <c r="K1937" s="655">
        <v>2</v>
      </c>
      <c r="L1937" s="656" t="s">
        <v>52</v>
      </c>
      <c r="M1937" s="656" t="s">
        <v>448</v>
      </c>
      <c r="N1937" s="656" t="s">
        <v>449</v>
      </c>
      <c r="O1937" s="656" t="s">
        <v>449</v>
      </c>
      <c r="P1937" s="656" t="s">
        <v>1176</v>
      </c>
      <c r="Q1937" s="657">
        <v>0</v>
      </c>
      <c r="R1937" s="657">
        <v>0</v>
      </c>
      <c r="S1937" s="657">
        <v>24938</v>
      </c>
      <c r="T1937" s="657">
        <v>24938</v>
      </c>
      <c r="U1937" s="657">
        <v>2820</v>
      </c>
      <c r="V1937" s="655">
        <v>2021</v>
      </c>
      <c r="W1937" s="659"/>
      <c r="X1937" s="660">
        <f t="shared" si="92"/>
        <v>8.8432624113475171</v>
      </c>
      <c r="Y1937" s="661" t="str">
        <f t="shared" si="90"/>
        <v/>
      </c>
      <c r="Z1937" s="661" t="str">
        <f t="shared" si="91"/>
        <v/>
      </c>
    </row>
    <row r="1938" spans="1:26" s="128" customFormat="1" ht="25">
      <c r="A1938" s="655">
        <v>62760</v>
      </c>
      <c r="B1938" s="656" t="s">
        <v>33</v>
      </c>
      <c r="C1938" s="655" t="s">
        <v>2793</v>
      </c>
      <c r="D1938" s="656" t="s">
        <v>2928</v>
      </c>
      <c r="E1938" s="656" t="s">
        <v>1989</v>
      </c>
      <c r="F1938" s="655">
        <v>60281</v>
      </c>
      <c r="G1938" s="656" t="s">
        <v>81</v>
      </c>
      <c r="H1938" s="656" t="s">
        <v>1183</v>
      </c>
      <c r="I1938" s="656" t="s">
        <v>58</v>
      </c>
      <c r="J1938" s="655">
        <v>22</v>
      </c>
      <c r="K1938" s="655">
        <v>2</v>
      </c>
      <c r="L1938" s="656" t="s">
        <v>52</v>
      </c>
      <c r="M1938" s="656" t="s">
        <v>448</v>
      </c>
      <c r="N1938" s="656" t="s">
        <v>449</v>
      </c>
      <c r="O1938" s="656" t="s">
        <v>449</v>
      </c>
      <c r="P1938" s="656" t="s">
        <v>1176</v>
      </c>
      <c r="Q1938" s="657">
        <v>0</v>
      </c>
      <c r="R1938" s="657">
        <v>0</v>
      </c>
      <c r="S1938" s="657">
        <v>24803</v>
      </c>
      <c r="T1938" s="657">
        <v>24803</v>
      </c>
      <c r="U1938" s="657">
        <v>2805</v>
      </c>
      <c r="V1938" s="655">
        <v>2021</v>
      </c>
      <c r="W1938" s="659"/>
      <c r="X1938" s="660">
        <f t="shared" si="92"/>
        <v>8.8424242424242419</v>
      </c>
      <c r="Y1938" s="661" t="str">
        <f t="shared" si="90"/>
        <v/>
      </c>
      <c r="Z1938" s="661" t="str">
        <f t="shared" si="91"/>
        <v/>
      </c>
    </row>
    <row r="1939" spans="1:26" s="128" customFormat="1" ht="25" hidden="1">
      <c r="A1939" s="655">
        <v>62761</v>
      </c>
      <c r="B1939" s="656" t="s">
        <v>33</v>
      </c>
      <c r="C1939" s="655" t="s">
        <v>2793</v>
      </c>
      <c r="D1939" s="656" t="s">
        <v>2929</v>
      </c>
      <c r="E1939" s="656" t="s">
        <v>1989</v>
      </c>
      <c r="F1939" s="655">
        <v>60281</v>
      </c>
      <c r="G1939" s="656" t="s">
        <v>57</v>
      </c>
      <c r="H1939" s="656" t="s">
        <v>1182</v>
      </c>
      <c r="I1939" s="656" t="s">
        <v>58</v>
      </c>
      <c r="J1939" s="655">
        <v>22</v>
      </c>
      <c r="K1939" s="655">
        <v>2</v>
      </c>
      <c r="L1939" s="656" t="s">
        <v>52</v>
      </c>
      <c r="M1939" s="656" t="s">
        <v>448</v>
      </c>
      <c r="N1939" s="656" t="s">
        <v>449</v>
      </c>
      <c r="O1939" s="656" t="s">
        <v>449</v>
      </c>
      <c r="P1939" s="656" t="s">
        <v>1176</v>
      </c>
      <c r="Q1939" s="657">
        <v>0</v>
      </c>
      <c r="R1939" s="657">
        <v>0</v>
      </c>
      <c r="S1939" s="657">
        <v>29366</v>
      </c>
      <c r="T1939" s="657">
        <v>29366</v>
      </c>
      <c r="U1939" s="657">
        <v>3321</v>
      </c>
      <c r="V1939" s="655">
        <v>2021</v>
      </c>
      <c r="W1939" s="659"/>
      <c r="X1939" s="660">
        <f t="shared" si="92"/>
        <v>8.8425173140620288</v>
      </c>
      <c r="Y1939" s="661" t="str">
        <f t="shared" si="90"/>
        <v/>
      </c>
      <c r="Z1939" s="661" t="str">
        <f t="shared" si="91"/>
        <v/>
      </c>
    </row>
    <row r="1940" spans="1:26" s="128" customFormat="1" ht="25">
      <c r="A1940" s="655">
        <v>62763</v>
      </c>
      <c r="B1940" s="656" t="s">
        <v>33</v>
      </c>
      <c r="C1940" s="655" t="s">
        <v>2793</v>
      </c>
      <c r="D1940" s="656" t="s">
        <v>2930</v>
      </c>
      <c r="E1940" s="656" t="s">
        <v>1989</v>
      </c>
      <c r="F1940" s="655">
        <v>60281</v>
      </c>
      <c r="G1940" s="656" t="s">
        <v>81</v>
      </c>
      <c r="H1940" s="656" t="s">
        <v>1183</v>
      </c>
      <c r="I1940" s="656" t="s">
        <v>58</v>
      </c>
      <c r="J1940" s="655">
        <v>22</v>
      </c>
      <c r="K1940" s="655">
        <v>2</v>
      </c>
      <c r="L1940" s="656" t="s">
        <v>52</v>
      </c>
      <c r="M1940" s="656" t="s">
        <v>448</v>
      </c>
      <c r="N1940" s="656" t="s">
        <v>449</v>
      </c>
      <c r="O1940" s="656" t="s">
        <v>449</v>
      </c>
      <c r="P1940" s="656" t="s">
        <v>1176</v>
      </c>
      <c r="Q1940" s="657">
        <v>0</v>
      </c>
      <c r="R1940" s="657">
        <v>0</v>
      </c>
      <c r="S1940" s="657">
        <v>31286</v>
      </c>
      <c r="T1940" s="657">
        <v>31286</v>
      </c>
      <c r="U1940" s="657">
        <v>3538</v>
      </c>
      <c r="V1940" s="655">
        <v>2021</v>
      </c>
      <c r="W1940" s="659"/>
      <c r="X1940" s="660">
        <f t="shared" si="92"/>
        <v>8.8428490672696434</v>
      </c>
      <c r="Y1940" s="661" t="str">
        <f t="shared" si="90"/>
        <v/>
      </c>
      <c r="Z1940" s="661" t="str">
        <f t="shared" si="91"/>
        <v/>
      </c>
    </row>
    <row r="1941" spans="1:26" s="128" customFormat="1" ht="25" hidden="1">
      <c r="A1941" s="655">
        <v>62764</v>
      </c>
      <c r="B1941" s="656" t="s">
        <v>33</v>
      </c>
      <c r="C1941" s="655" t="s">
        <v>2793</v>
      </c>
      <c r="D1941" s="656" t="s">
        <v>2931</v>
      </c>
      <c r="E1941" s="656" t="s">
        <v>1989</v>
      </c>
      <c r="F1941" s="655">
        <v>60281</v>
      </c>
      <c r="G1941" s="656" t="s">
        <v>57</v>
      </c>
      <c r="H1941" s="656" t="s">
        <v>1182</v>
      </c>
      <c r="I1941" s="656" t="s">
        <v>58</v>
      </c>
      <c r="J1941" s="655">
        <v>22</v>
      </c>
      <c r="K1941" s="655">
        <v>2</v>
      </c>
      <c r="L1941" s="656" t="s">
        <v>52</v>
      </c>
      <c r="M1941" s="656" t="s">
        <v>448</v>
      </c>
      <c r="N1941" s="656" t="s">
        <v>449</v>
      </c>
      <c r="O1941" s="656" t="s">
        <v>449</v>
      </c>
      <c r="P1941" s="656" t="s">
        <v>1176</v>
      </c>
      <c r="Q1941" s="657">
        <v>0</v>
      </c>
      <c r="R1941" s="657">
        <v>0</v>
      </c>
      <c r="S1941" s="657">
        <v>30128</v>
      </c>
      <c r="T1941" s="657">
        <v>30128</v>
      </c>
      <c r="U1941" s="657">
        <v>3407</v>
      </c>
      <c r="V1941" s="655">
        <v>2021</v>
      </c>
      <c r="W1941" s="659"/>
      <c r="X1941" s="660">
        <f t="shared" si="92"/>
        <v>8.8429703551511594</v>
      </c>
      <c r="Y1941" s="661" t="str">
        <f t="shared" si="90"/>
        <v/>
      </c>
      <c r="Z1941" s="661" t="str">
        <f t="shared" si="91"/>
        <v/>
      </c>
    </row>
    <row r="1942" spans="1:26" s="128" customFormat="1" hidden="1">
      <c r="A1942" s="655">
        <v>62777</v>
      </c>
      <c r="B1942" s="656" t="s">
        <v>33</v>
      </c>
      <c r="C1942" s="655" t="s">
        <v>2793</v>
      </c>
      <c r="D1942" s="656" t="s">
        <v>2502</v>
      </c>
      <c r="E1942" s="656" t="s">
        <v>2503</v>
      </c>
      <c r="F1942" s="655">
        <v>62684</v>
      </c>
      <c r="G1942" s="656" t="s">
        <v>57</v>
      </c>
      <c r="H1942" s="656" t="s">
        <v>1182</v>
      </c>
      <c r="I1942" s="656" t="s">
        <v>58</v>
      </c>
      <c r="J1942" s="655">
        <v>22</v>
      </c>
      <c r="K1942" s="655">
        <v>2</v>
      </c>
      <c r="L1942" s="656" t="s">
        <v>52</v>
      </c>
      <c r="M1942" s="656" t="s">
        <v>448</v>
      </c>
      <c r="N1942" s="656" t="s">
        <v>449</v>
      </c>
      <c r="O1942" s="656" t="s">
        <v>449</v>
      </c>
      <c r="P1942" s="656" t="s">
        <v>1176</v>
      </c>
      <c r="Q1942" s="657">
        <v>0</v>
      </c>
      <c r="R1942" s="657">
        <v>0</v>
      </c>
      <c r="S1942" s="657">
        <v>16499</v>
      </c>
      <c r="T1942" s="657">
        <v>16499</v>
      </c>
      <c r="U1942" s="657">
        <v>1866</v>
      </c>
      <c r="V1942" s="655">
        <v>2021</v>
      </c>
      <c r="W1942" s="659"/>
      <c r="X1942" s="660">
        <f t="shared" si="92"/>
        <v>8.8419078242229361</v>
      </c>
      <c r="Y1942" s="661" t="str">
        <f t="shared" si="90"/>
        <v/>
      </c>
      <c r="Z1942" s="661" t="str">
        <f t="shared" si="91"/>
        <v/>
      </c>
    </row>
    <row r="1943" spans="1:26" s="128" customFormat="1" ht="25" hidden="1">
      <c r="A1943" s="655">
        <v>62781</v>
      </c>
      <c r="B1943" s="656" t="s">
        <v>33</v>
      </c>
      <c r="C1943" s="655" t="s">
        <v>2793</v>
      </c>
      <c r="D1943" s="656" t="s">
        <v>3396</v>
      </c>
      <c r="E1943" s="656" t="s">
        <v>1765</v>
      </c>
      <c r="F1943" s="655">
        <v>59254</v>
      </c>
      <c r="G1943" s="656" t="s">
        <v>131</v>
      </c>
      <c r="H1943" s="656" t="s">
        <v>1183</v>
      </c>
      <c r="I1943" s="656" t="s">
        <v>58</v>
      </c>
      <c r="J1943" s="655">
        <v>22</v>
      </c>
      <c r="K1943" s="655">
        <v>2</v>
      </c>
      <c r="L1943" s="656" t="s">
        <v>52</v>
      </c>
      <c r="M1943" s="656" t="s">
        <v>448</v>
      </c>
      <c r="N1943" s="656" t="s">
        <v>449</v>
      </c>
      <c r="O1943" s="656" t="s">
        <v>449</v>
      </c>
      <c r="P1943" s="656" t="s">
        <v>1176</v>
      </c>
      <c r="Q1943" s="657">
        <v>0</v>
      </c>
      <c r="R1943" s="657">
        <v>0</v>
      </c>
      <c r="S1943" s="657">
        <v>32241</v>
      </c>
      <c r="T1943" s="657">
        <v>32241</v>
      </c>
      <c r="U1943" s="657">
        <v>3646</v>
      </c>
      <c r="V1943" s="655">
        <v>2021</v>
      </c>
      <c r="W1943" s="659"/>
      <c r="X1943" s="660">
        <f t="shared" si="92"/>
        <v>8.8428414701042239</v>
      </c>
      <c r="Y1943" s="661" t="str">
        <f t="shared" si="90"/>
        <v/>
      </c>
      <c r="Z1943" s="661" t="str">
        <f t="shared" si="91"/>
        <v/>
      </c>
    </row>
    <row r="1944" spans="1:26" s="128" customFormat="1" hidden="1">
      <c r="A1944" s="655">
        <v>62784</v>
      </c>
      <c r="B1944" s="656" t="s">
        <v>33</v>
      </c>
      <c r="C1944" s="655" t="s">
        <v>2793</v>
      </c>
      <c r="D1944" s="656" t="s">
        <v>2504</v>
      </c>
      <c r="E1944" s="656" t="s">
        <v>2505</v>
      </c>
      <c r="F1944" s="655">
        <v>62688</v>
      </c>
      <c r="G1944" s="656" t="s">
        <v>57</v>
      </c>
      <c r="H1944" s="656" t="s">
        <v>1182</v>
      </c>
      <c r="I1944" s="656" t="s">
        <v>58</v>
      </c>
      <c r="J1944" s="655">
        <v>22</v>
      </c>
      <c r="K1944" s="655">
        <v>2</v>
      </c>
      <c r="L1944" s="656" t="s">
        <v>52</v>
      </c>
      <c r="M1944" s="656" t="s">
        <v>448</v>
      </c>
      <c r="N1944" s="656" t="s">
        <v>449</v>
      </c>
      <c r="O1944" s="656" t="s">
        <v>449</v>
      </c>
      <c r="P1944" s="656" t="s">
        <v>1176</v>
      </c>
      <c r="Q1944" s="657">
        <v>0</v>
      </c>
      <c r="R1944" s="657">
        <v>0</v>
      </c>
      <c r="S1944" s="657">
        <v>18571</v>
      </c>
      <c r="T1944" s="657">
        <v>18571</v>
      </c>
      <c r="U1944" s="657">
        <v>2100</v>
      </c>
      <c r="V1944" s="655">
        <v>2021</v>
      </c>
      <c r="W1944" s="659"/>
      <c r="X1944" s="660">
        <f t="shared" si="92"/>
        <v>8.8433333333333337</v>
      </c>
      <c r="Y1944" s="661" t="str">
        <f t="shared" si="90"/>
        <v/>
      </c>
      <c r="Z1944" s="661" t="str">
        <f t="shared" si="91"/>
        <v/>
      </c>
    </row>
    <row r="1945" spans="1:26" s="128" customFormat="1" hidden="1">
      <c r="A1945" s="655">
        <v>62785</v>
      </c>
      <c r="B1945" s="656" t="s">
        <v>33</v>
      </c>
      <c r="C1945" s="655" t="s">
        <v>2793</v>
      </c>
      <c r="D1945" s="656" t="s">
        <v>2506</v>
      </c>
      <c r="E1945" s="656" t="s">
        <v>2505</v>
      </c>
      <c r="F1945" s="655">
        <v>62688</v>
      </c>
      <c r="G1945" s="656" t="s">
        <v>57</v>
      </c>
      <c r="H1945" s="656" t="s">
        <v>1182</v>
      </c>
      <c r="I1945" s="656" t="s">
        <v>58</v>
      </c>
      <c r="J1945" s="655">
        <v>22</v>
      </c>
      <c r="K1945" s="655">
        <v>2</v>
      </c>
      <c r="L1945" s="656" t="s">
        <v>52</v>
      </c>
      <c r="M1945" s="656" t="s">
        <v>448</v>
      </c>
      <c r="N1945" s="656" t="s">
        <v>449</v>
      </c>
      <c r="O1945" s="656" t="s">
        <v>449</v>
      </c>
      <c r="P1945" s="656" t="s">
        <v>1176</v>
      </c>
      <c r="Q1945" s="657">
        <v>0</v>
      </c>
      <c r="R1945" s="657">
        <v>0</v>
      </c>
      <c r="S1945" s="657">
        <v>12159</v>
      </c>
      <c r="T1945" s="657">
        <v>12159</v>
      </c>
      <c r="U1945" s="657">
        <v>1375</v>
      </c>
      <c r="V1945" s="655">
        <v>2021</v>
      </c>
      <c r="W1945" s="659"/>
      <c r="X1945" s="660">
        <f t="shared" si="92"/>
        <v>8.8429090909090906</v>
      </c>
      <c r="Y1945" s="661" t="str">
        <f t="shared" si="90"/>
        <v/>
      </c>
      <c r="Z1945" s="661" t="str">
        <f t="shared" si="91"/>
        <v/>
      </c>
    </row>
    <row r="1946" spans="1:26" s="128" customFormat="1" ht="25" hidden="1">
      <c r="A1946" s="655">
        <v>62788</v>
      </c>
      <c r="B1946" s="656" t="s">
        <v>33</v>
      </c>
      <c r="C1946" s="655" t="s">
        <v>2793</v>
      </c>
      <c r="D1946" s="656" t="s">
        <v>2932</v>
      </c>
      <c r="E1946" s="656" t="s">
        <v>2921</v>
      </c>
      <c r="F1946" s="655">
        <v>60531</v>
      </c>
      <c r="G1946" s="656" t="s">
        <v>57</v>
      </c>
      <c r="H1946" s="656" t="s">
        <v>1182</v>
      </c>
      <c r="I1946" s="656" t="s">
        <v>58</v>
      </c>
      <c r="J1946" s="655">
        <v>22</v>
      </c>
      <c r="K1946" s="655">
        <v>2</v>
      </c>
      <c r="L1946" s="656" t="s">
        <v>52</v>
      </c>
      <c r="M1946" s="656" t="s">
        <v>448</v>
      </c>
      <c r="N1946" s="656" t="s">
        <v>449</v>
      </c>
      <c r="O1946" s="656" t="s">
        <v>449</v>
      </c>
      <c r="P1946" s="656" t="s">
        <v>1176</v>
      </c>
      <c r="Q1946" s="657">
        <v>0</v>
      </c>
      <c r="R1946" s="657">
        <v>0</v>
      </c>
      <c r="S1946" s="657">
        <v>68365</v>
      </c>
      <c r="T1946" s="657">
        <v>68365</v>
      </c>
      <c r="U1946" s="657">
        <v>7731</v>
      </c>
      <c r="V1946" s="655">
        <v>2021</v>
      </c>
      <c r="W1946" s="659"/>
      <c r="X1946" s="660">
        <f t="shared" si="92"/>
        <v>8.8429698615961705</v>
      </c>
      <c r="Y1946" s="661" t="str">
        <f t="shared" si="90"/>
        <v/>
      </c>
      <c r="Z1946" s="661" t="str">
        <f t="shared" si="91"/>
        <v/>
      </c>
    </row>
    <row r="1947" spans="1:26" s="128" customFormat="1" hidden="1">
      <c r="A1947" s="655">
        <v>62810</v>
      </c>
      <c r="B1947" s="656" t="s">
        <v>33</v>
      </c>
      <c r="C1947" s="655" t="s">
        <v>2793</v>
      </c>
      <c r="D1947" s="656" t="s">
        <v>2507</v>
      </c>
      <c r="E1947" s="656" t="s">
        <v>3397</v>
      </c>
      <c r="F1947" s="655">
        <v>64994</v>
      </c>
      <c r="G1947" s="656" t="s">
        <v>57</v>
      </c>
      <c r="H1947" s="656" t="s">
        <v>1182</v>
      </c>
      <c r="I1947" s="656" t="s">
        <v>58</v>
      </c>
      <c r="J1947" s="655">
        <v>22</v>
      </c>
      <c r="K1947" s="655">
        <v>2</v>
      </c>
      <c r="L1947" s="656" t="s">
        <v>52</v>
      </c>
      <c r="M1947" s="656" t="s">
        <v>448</v>
      </c>
      <c r="N1947" s="656" t="s">
        <v>449</v>
      </c>
      <c r="O1947" s="656" t="s">
        <v>449</v>
      </c>
      <c r="P1947" s="656" t="s">
        <v>1176</v>
      </c>
      <c r="Q1947" s="657">
        <v>0</v>
      </c>
      <c r="R1947" s="657">
        <v>0</v>
      </c>
      <c r="S1947" s="657">
        <v>20550</v>
      </c>
      <c r="T1947" s="657">
        <v>20550</v>
      </c>
      <c r="U1947" s="657">
        <v>2324</v>
      </c>
      <c r="V1947" s="655">
        <v>2021</v>
      </c>
      <c r="W1947" s="659"/>
      <c r="X1947" s="660">
        <f t="shared" si="92"/>
        <v>8.8425129087779695</v>
      </c>
      <c r="Y1947" s="661" t="str">
        <f t="shared" si="90"/>
        <v/>
      </c>
      <c r="Z1947" s="661" t="str">
        <f t="shared" si="91"/>
        <v/>
      </c>
    </row>
    <row r="1948" spans="1:26" s="128" customFormat="1" ht="25">
      <c r="A1948" s="655">
        <v>62824</v>
      </c>
      <c r="B1948" s="656" t="s">
        <v>33</v>
      </c>
      <c r="C1948" s="655" t="s">
        <v>2793</v>
      </c>
      <c r="D1948" s="656" t="s">
        <v>2933</v>
      </c>
      <c r="E1948" s="656" t="s">
        <v>2934</v>
      </c>
      <c r="F1948" s="655">
        <v>62719</v>
      </c>
      <c r="G1948" s="656" t="s">
        <v>81</v>
      </c>
      <c r="H1948" s="656" t="s">
        <v>1183</v>
      </c>
      <c r="I1948" s="656" t="s">
        <v>58</v>
      </c>
      <c r="J1948" s="655">
        <v>22</v>
      </c>
      <c r="K1948" s="655">
        <v>2</v>
      </c>
      <c r="L1948" s="656" t="s">
        <v>52</v>
      </c>
      <c r="M1948" s="656" t="s">
        <v>448</v>
      </c>
      <c r="N1948" s="656" t="s">
        <v>449</v>
      </c>
      <c r="O1948" s="656" t="s">
        <v>449</v>
      </c>
      <c r="P1948" s="656" t="s">
        <v>1176</v>
      </c>
      <c r="Q1948" s="657">
        <v>0</v>
      </c>
      <c r="R1948" s="657">
        <v>0</v>
      </c>
      <c r="S1948" s="657">
        <v>26714</v>
      </c>
      <c r="T1948" s="657">
        <v>26714</v>
      </c>
      <c r="U1948" s="657">
        <v>3021</v>
      </c>
      <c r="V1948" s="655">
        <v>2021</v>
      </c>
      <c r="W1948" s="659"/>
      <c r="X1948" s="660">
        <f t="shared" si="92"/>
        <v>8.8427672955974845</v>
      </c>
      <c r="Y1948" s="661" t="str">
        <f t="shared" si="90"/>
        <v/>
      </c>
      <c r="Z1948" s="661" t="str">
        <f t="shared" si="91"/>
        <v/>
      </c>
    </row>
    <row r="1949" spans="1:26" s="128" customFormat="1" ht="25">
      <c r="A1949" s="655">
        <v>62825</v>
      </c>
      <c r="B1949" s="656" t="s">
        <v>33</v>
      </c>
      <c r="C1949" s="655" t="s">
        <v>2793</v>
      </c>
      <c r="D1949" s="656" t="s">
        <v>2935</v>
      </c>
      <c r="E1949" s="656" t="s">
        <v>2934</v>
      </c>
      <c r="F1949" s="655">
        <v>62719</v>
      </c>
      <c r="G1949" s="656" t="s">
        <v>81</v>
      </c>
      <c r="H1949" s="656" t="s">
        <v>1183</v>
      </c>
      <c r="I1949" s="656" t="s">
        <v>58</v>
      </c>
      <c r="J1949" s="655">
        <v>22</v>
      </c>
      <c r="K1949" s="655">
        <v>2</v>
      </c>
      <c r="L1949" s="656" t="s">
        <v>52</v>
      </c>
      <c r="M1949" s="656" t="s">
        <v>448</v>
      </c>
      <c r="N1949" s="656" t="s">
        <v>449</v>
      </c>
      <c r="O1949" s="656" t="s">
        <v>449</v>
      </c>
      <c r="P1949" s="656" t="s">
        <v>1176</v>
      </c>
      <c r="Q1949" s="657">
        <v>0</v>
      </c>
      <c r="R1949" s="657">
        <v>0</v>
      </c>
      <c r="S1949" s="657">
        <v>50626</v>
      </c>
      <c r="T1949" s="657">
        <v>50626</v>
      </c>
      <c r="U1949" s="657">
        <v>5725</v>
      </c>
      <c r="V1949" s="655">
        <v>2021</v>
      </c>
      <c r="W1949" s="659"/>
      <c r="X1949" s="660">
        <f t="shared" si="92"/>
        <v>8.8429694323144101</v>
      </c>
      <c r="Y1949" s="661" t="str">
        <f t="shared" si="90"/>
        <v/>
      </c>
      <c r="Z1949" s="661" t="str">
        <f t="shared" si="91"/>
        <v/>
      </c>
    </row>
    <row r="1950" spans="1:26" s="128" customFormat="1" ht="25">
      <c r="A1950" s="655">
        <v>62826</v>
      </c>
      <c r="B1950" s="656" t="s">
        <v>33</v>
      </c>
      <c r="C1950" s="655" t="s">
        <v>2793</v>
      </c>
      <c r="D1950" s="656" t="s">
        <v>2936</v>
      </c>
      <c r="E1950" s="656" t="s">
        <v>2934</v>
      </c>
      <c r="F1950" s="655">
        <v>62719</v>
      </c>
      <c r="G1950" s="656" t="s">
        <v>81</v>
      </c>
      <c r="H1950" s="656" t="s">
        <v>1183</v>
      </c>
      <c r="I1950" s="656" t="s">
        <v>58</v>
      </c>
      <c r="J1950" s="655">
        <v>22</v>
      </c>
      <c r="K1950" s="655">
        <v>2</v>
      </c>
      <c r="L1950" s="656" t="s">
        <v>52</v>
      </c>
      <c r="M1950" s="656" t="s">
        <v>448</v>
      </c>
      <c r="N1950" s="656" t="s">
        <v>449</v>
      </c>
      <c r="O1950" s="656" t="s">
        <v>449</v>
      </c>
      <c r="P1950" s="656" t="s">
        <v>1176</v>
      </c>
      <c r="Q1950" s="657">
        <v>0</v>
      </c>
      <c r="R1950" s="657">
        <v>0</v>
      </c>
      <c r="S1950" s="657">
        <v>31860</v>
      </c>
      <c r="T1950" s="657">
        <v>31860</v>
      </c>
      <c r="U1950" s="657">
        <v>3603</v>
      </c>
      <c r="V1950" s="655">
        <v>2021</v>
      </c>
      <c r="W1950" s="659"/>
      <c r="X1950" s="660">
        <f t="shared" si="92"/>
        <v>8.8426311407160707</v>
      </c>
      <c r="Y1950" s="661" t="str">
        <f t="shared" si="90"/>
        <v/>
      </c>
      <c r="Z1950" s="661" t="str">
        <f t="shared" si="91"/>
        <v/>
      </c>
    </row>
    <row r="1951" spans="1:26" s="128" customFormat="1" ht="25">
      <c r="A1951" s="655">
        <v>62827</v>
      </c>
      <c r="B1951" s="656" t="s">
        <v>33</v>
      </c>
      <c r="C1951" s="655" t="s">
        <v>2793</v>
      </c>
      <c r="D1951" s="656" t="s">
        <v>2937</v>
      </c>
      <c r="E1951" s="656" t="s">
        <v>2934</v>
      </c>
      <c r="F1951" s="655">
        <v>62719</v>
      </c>
      <c r="G1951" s="656" t="s">
        <v>81</v>
      </c>
      <c r="H1951" s="656" t="s">
        <v>1183</v>
      </c>
      <c r="I1951" s="656" t="s">
        <v>58</v>
      </c>
      <c r="J1951" s="655">
        <v>22</v>
      </c>
      <c r="K1951" s="655">
        <v>2</v>
      </c>
      <c r="L1951" s="656" t="s">
        <v>52</v>
      </c>
      <c r="M1951" s="656" t="s">
        <v>448</v>
      </c>
      <c r="N1951" s="656" t="s">
        <v>449</v>
      </c>
      <c r="O1951" s="656" t="s">
        <v>449</v>
      </c>
      <c r="P1951" s="656" t="s">
        <v>1176</v>
      </c>
      <c r="Q1951" s="657">
        <v>0</v>
      </c>
      <c r="R1951" s="657">
        <v>0</v>
      </c>
      <c r="S1951" s="657">
        <v>39679</v>
      </c>
      <c r="T1951" s="657">
        <v>39679</v>
      </c>
      <c r="U1951" s="657">
        <v>4487</v>
      </c>
      <c r="V1951" s="655">
        <v>2021</v>
      </c>
      <c r="W1951" s="659"/>
      <c r="X1951" s="660">
        <f t="shared" si="92"/>
        <v>8.8431022955203922</v>
      </c>
      <c r="Y1951" s="661" t="str">
        <f t="shared" si="90"/>
        <v/>
      </c>
      <c r="Z1951" s="661" t="str">
        <f t="shared" si="91"/>
        <v/>
      </c>
    </row>
    <row r="1952" spans="1:26" s="128" customFormat="1" hidden="1">
      <c r="A1952" s="655">
        <v>62831</v>
      </c>
      <c r="B1952" s="656" t="s">
        <v>33</v>
      </c>
      <c r="C1952" s="655" t="s">
        <v>2793</v>
      </c>
      <c r="D1952" s="656" t="s">
        <v>3161</v>
      </c>
      <c r="E1952" s="656" t="s">
        <v>3162</v>
      </c>
      <c r="F1952" s="655">
        <v>62879</v>
      </c>
      <c r="G1952" s="656" t="s">
        <v>57</v>
      </c>
      <c r="H1952" s="656" t="s">
        <v>1182</v>
      </c>
      <c r="I1952" s="656" t="s">
        <v>58</v>
      </c>
      <c r="J1952" s="655">
        <v>22</v>
      </c>
      <c r="K1952" s="655">
        <v>2</v>
      </c>
      <c r="L1952" s="656" t="s">
        <v>52</v>
      </c>
      <c r="M1952" s="656" t="s">
        <v>448</v>
      </c>
      <c r="N1952" s="656" t="s">
        <v>449</v>
      </c>
      <c r="O1952" s="656" t="s">
        <v>449</v>
      </c>
      <c r="P1952" s="656" t="s">
        <v>1176</v>
      </c>
      <c r="Q1952" s="657">
        <v>0</v>
      </c>
      <c r="R1952" s="657">
        <v>0</v>
      </c>
      <c r="S1952" s="657">
        <v>25406</v>
      </c>
      <c r="T1952" s="657">
        <v>25406</v>
      </c>
      <c r="U1952" s="657">
        <v>2873</v>
      </c>
      <c r="V1952" s="655">
        <v>2021</v>
      </c>
      <c r="W1952" s="659"/>
      <c r="X1952" s="660">
        <f t="shared" si="92"/>
        <v>8.8430212321615045</v>
      </c>
      <c r="Y1952" s="661" t="str">
        <f t="shared" si="90"/>
        <v/>
      </c>
      <c r="Z1952" s="661" t="str">
        <f t="shared" si="91"/>
        <v/>
      </c>
    </row>
    <row r="1953" spans="1:26" s="128" customFormat="1" hidden="1">
      <c r="A1953" s="655">
        <v>62832</v>
      </c>
      <c r="B1953" s="656" t="s">
        <v>33</v>
      </c>
      <c r="C1953" s="655" t="s">
        <v>2793</v>
      </c>
      <c r="D1953" s="656" t="s">
        <v>3163</v>
      </c>
      <c r="E1953" s="656" t="s">
        <v>3163</v>
      </c>
      <c r="F1953" s="655">
        <v>62880</v>
      </c>
      <c r="G1953" s="656" t="s">
        <v>57</v>
      </c>
      <c r="H1953" s="656" t="s">
        <v>1182</v>
      </c>
      <c r="I1953" s="656" t="s">
        <v>58</v>
      </c>
      <c r="J1953" s="655">
        <v>22</v>
      </c>
      <c r="K1953" s="655">
        <v>2</v>
      </c>
      <c r="L1953" s="656" t="s">
        <v>52</v>
      </c>
      <c r="M1953" s="656" t="s">
        <v>448</v>
      </c>
      <c r="N1953" s="656" t="s">
        <v>449</v>
      </c>
      <c r="O1953" s="656" t="s">
        <v>449</v>
      </c>
      <c r="P1953" s="656" t="s">
        <v>1176</v>
      </c>
      <c r="Q1953" s="657">
        <v>0</v>
      </c>
      <c r="R1953" s="657">
        <v>0</v>
      </c>
      <c r="S1953" s="657">
        <v>24627</v>
      </c>
      <c r="T1953" s="657">
        <v>24627</v>
      </c>
      <c r="U1953" s="657">
        <v>2785</v>
      </c>
      <c r="V1953" s="655">
        <v>2021</v>
      </c>
      <c r="W1953" s="659"/>
      <c r="X1953" s="660">
        <f t="shared" si="92"/>
        <v>8.8427289048473963</v>
      </c>
      <c r="Y1953" s="661" t="str">
        <f t="shared" si="90"/>
        <v/>
      </c>
      <c r="Z1953" s="661" t="str">
        <f t="shared" si="91"/>
        <v/>
      </c>
    </row>
    <row r="1954" spans="1:26" s="128" customFormat="1" hidden="1">
      <c r="A1954" s="655">
        <v>62834</v>
      </c>
      <c r="B1954" s="656" t="s">
        <v>33</v>
      </c>
      <c r="C1954" s="655" t="s">
        <v>2793</v>
      </c>
      <c r="D1954" s="656" t="s">
        <v>2938</v>
      </c>
      <c r="E1954" s="656" t="s">
        <v>2939</v>
      </c>
      <c r="F1954" s="655">
        <v>63179</v>
      </c>
      <c r="G1954" s="656" t="s">
        <v>57</v>
      </c>
      <c r="H1954" s="656" t="s">
        <v>1182</v>
      </c>
      <c r="I1954" s="656" t="s">
        <v>58</v>
      </c>
      <c r="J1954" s="655">
        <v>22</v>
      </c>
      <c r="K1954" s="655">
        <v>2</v>
      </c>
      <c r="L1954" s="656" t="s">
        <v>52</v>
      </c>
      <c r="M1954" s="656" t="s">
        <v>448</v>
      </c>
      <c r="N1954" s="656" t="s">
        <v>449</v>
      </c>
      <c r="O1954" s="656" t="s">
        <v>449</v>
      </c>
      <c r="P1954" s="656" t="s">
        <v>1176</v>
      </c>
      <c r="Q1954" s="657">
        <v>0</v>
      </c>
      <c r="R1954" s="657">
        <v>0</v>
      </c>
      <c r="S1954" s="657">
        <v>27343</v>
      </c>
      <c r="T1954" s="657">
        <v>27343</v>
      </c>
      <c r="U1954" s="657">
        <v>3092</v>
      </c>
      <c r="V1954" s="655">
        <v>2021</v>
      </c>
      <c r="W1954" s="659"/>
      <c r="X1954" s="660">
        <f t="shared" si="92"/>
        <v>8.8431435963777485</v>
      </c>
      <c r="Y1954" s="661" t="str">
        <f t="shared" si="90"/>
        <v/>
      </c>
      <c r="Z1954" s="661" t="str">
        <f t="shared" si="91"/>
        <v/>
      </c>
    </row>
    <row r="1955" spans="1:26" s="128" customFormat="1" ht="25" hidden="1">
      <c r="A1955" s="655">
        <v>62835</v>
      </c>
      <c r="B1955" s="656" t="s">
        <v>33</v>
      </c>
      <c r="C1955" s="655" t="s">
        <v>2793</v>
      </c>
      <c r="D1955" s="656" t="s">
        <v>2940</v>
      </c>
      <c r="E1955" s="656" t="s">
        <v>2941</v>
      </c>
      <c r="F1955" s="655">
        <v>63332</v>
      </c>
      <c r="G1955" s="656" t="s">
        <v>81</v>
      </c>
      <c r="H1955" s="656" t="s">
        <v>1183</v>
      </c>
      <c r="I1955" s="656" t="s">
        <v>58</v>
      </c>
      <c r="J1955" s="655">
        <v>339</v>
      </c>
      <c r="K1955" s="655">
        <v>6</v>
      </c>
      <c r="L1955" s="656" t="s">
        <v>410</v>
      </c>
      <c r="M1955" s="656" t="s">
        <v>1890</v>
      </c>
      <c r="N1955" s="656" t="s">
        <v>1052</v>
      </c>
      <c r="O1955" s="656" t="s">
        <v>82</v>
      </c>
      <c r="P1955" s="656" t="s">
        <v>2794</v>
      </c>
      <c r="Q1955" s="657">
        <v>7</v>
      </c>
      <c r="R1955" s="657">
        <v>7</v>
      </c>
      <c r="S1955" s="657">
        <v>0</v>
      </c>
      <c r="T1955" s="657">
        <v>0</v>
      </c>
      <c r="U1955" s="657">
        <v>-1</v>
      </c>
      <c r="V1955" s="655">
        <v>2021</v>
      </c>
      <c r="W1955" s="659"/>
      <c r="X1955" s="660" t="str">
        <f t="shared" si="92"/>
        <v/>
      </c>
      <c r="Y1955" s="661" t="str">
        <f t="shared" si="90"/>
        <v/>
      </c>
      <c r="Z1955" s="661" t="str">
        <f t="shared" si="91"/>
        <v/>
      </c>
    </row>
    <row r="1956" spans="1:26" s="128" customFormat="1" ht="25" hidden="1">
      <c r="A1956" s="655">
        <v>62839</v>
      </c>
      <c r="B1956" s="656" t="s">
        <v>33</v>
      </c>
      <c r="C1956" s="655" t="s">
        <v>2793</v>
      </c>
      <c r="D1956" s="656" t="s">
        <v>3398</v>
      </c>
      <c r="E1956" s="656" t="s">
        <v>107</v>
      </c>
      <c r="F1956" s="655">
        <v>4226</v>
      </c>
      <c r="G1956" s="656" t="s">
        <v>57</v>
      </c>
      <c r="H1956" s="656" t="s">
        <v>1182</v>
      </c>
      <c r="I1956" s="656" t="s">
        <v>58</v>
      </c>
      <c r="J1956" s="655">
        <v>22</v>
      </c>
      <c r="K1956" s="655">
        <v>1</v>
      </c>
      <c r="L1956" s="656" t="s">
        <v>34</v>
      </c>
      <c r="M1956" s="656" t="s">
        <v>1890</v>
      </c>
      <c r="N1956" s="656" t="s">
        <v>1052</v>
      </c>
      <c r="O1956" s="656" t="s">
        <v>82</v>
      </c>
      <c r="P1956" s="656" t="s">
        <v>2794</v>
      </c>
      <c r="Q1956" s="657">
        <v>11</v>
      </c>
      <c r="R1956" s="657">
        <v>11</v>
      </c>
      <c r="S1956" s="657">
        <v>0</v>
      </c>
      <c r="T1956" s="657">
        <v>0</v>
      </c>
      <c r="U1956" s="657">
        <v>80</v>
      </c>
      <c r="V1956" s="655">
        <v>2021</v>
      </c>
      <c r="W1956" s="659"/>
      <c r="X1956" s="660" t="str">
        <f t="shared" si="92"/>
        <v/>
      </c>
      <c r="Y1956" s="661" t="str">
        <f t="shared" si="90"/>
        <v/>
      </c>
      <c r="Z1956" s="661" t="str">
        <f t="shared" si="91"/>
        <v/>
      </c>
    </row>
    <row r="1957" spans="1:26" s="128" customFormat="1" ht="25">
      <c r="A1957" s="655">
        <v>62842</v>
      </c>
      <c r="B1957" s="656" t="s">
        <v>33</v>
      </c>
      <c r="C1957" s="655" t="s">
        <v>2793</v>
      </c>
      <c r="D1957" s="656" t="s">
        <v>2942</v>
      </c>
      <c r="E1957" s="656" t="s">
        <v>2327</v>
      </c>
      <c r="F1957" s="655">
        <v>60025</v>
      </c>
      <c r="G1957" s="656" t="s">
        <v>81</v>
      </c>
      <c r="H1957" s="656" t="s">
        <v>1183</v>
      </c>
      <c r="I1957" s="656" t="s">
        <v>58</v>
      </c>
      <c r="J1957" s="655">
        <v>22</v>
      </c>
      <c r="K1957" s="655">
        <v>2</v>
      </c>
      <c r="L1957" s="656" t="s">
        <v>52</v>
      </c>
      <c r="M1957" s="656" t="s">
        <v>448</v>
      </c>
      <c r="N1957" s="656" t="s">
        <v>449</v>
      </c>
      <c r="O1957" s="656" t="s">
        <v>449</v>
      </c>
      <c r="P1957" s="656" t="s">
        <v>1176</v>
      </c>
      <c r="Q1957" s="657">
        <v>0</v>
      </c>
      <c r="R1957" s="657">
        <v>0</v>
      </c>
      <c r="S1957" s="657">
        <v>47398</v>
      </c>
      <c r="T1957" s="657">
        <v>47398</v>
      </c>
      <c r="U1957" s="657">
        <v>5360</v>
      </c>
      <c r="V1957" s="655">
        <v>2021</v>
      </c>
      <c r="W1957" s="659"/>
      <c r="X1957" s="660">
        <f t="shared" si="92"/>
        <v>8.8429104477611933</v>
      </c>
      <c r="Y1957" s="661" t="str">
        <f t="shared" si="90"/>
        <v/>
      </c>
      <c r="Z1957" s="661" t="str">
        <f t="shared" si="91"/>
        <v/>
      </c>
    </row>
    <row r="1958" spans="1:26" s="128" customFormat="1" hidden="1">
      <c r="A1958" s="655">
        <v>62843</v>
      </c>
      <c r="B1958" s="656" t="s">
        <v>33</v>
      </c>
      <c r="C1958" s="655" t="s">
        <v>2793</v>
      </c>
      <c r="D1958" s="656" t="s">
        <v>2943</v>
      </c>
      <c r="E1958" s="656" t="s">
        <v>3139</v>
      </c>
      <c r="F1958" s="655">
        <v>60571</v>
      </c>
      <c r="G1958" s="656" t="s">
        <v>57</v>
      </c>
      <c r="H1958" s="656" t="s">
        <v>1182</v>
      </c>
      <c r="I1958" s="656" t="s">
        <v>58</v>
      </c>
      <c r="J1958" s="655">
        <v>22</v>
      </c>
      <c r="K1958" s="655">
        <v>2</v>
      </c>
      <c r="L1958" s="656" t="s">
        <v>52</v>
      </c>
      <c r="M1958" s="656" t="s">
        <v>448</v>
      </c>
      <c r="N1958" s="656" t="s">
        <v>449</v>
      </c>
      <c r="O1958" s="656" t="s">
        <v>449</v>
      </c>
      <c r="P1958" s="656" t="s">
        <v>1176</v>
      </c>
      <c r="Q1958" s="657">
        <v>0</v>
      </c>
      <c r="R1958" s="657">
        <v>0</v>
      </c>
      <c r="S1958" s="657">
        <v>21879</v>
      </c>
      <c r="T1958" s="657">
        <v>21879</v>
      </c>
      <c r="U1958" s="657">
        <v>2474</v>
      </c>
      <c r="V1958" s="655">
        <v>2021</v>
      </c>
      <c r="W1958" s="659"/>
      <c r="X1958" s="660">
        <f t="shared" si="92"/>
        <v>8.8435731608730794</v>
      </c>
      <c r="Y1958" s="661" t="str">
        <f t="shared" si="90"/>
        <v/>
      </c>
      <c r="Z1958" s="661" t="str">
        <f t="shared" si="91"/>
        <v/>
      </c>
    </row>
    <row r="1959" spans="1:26" s="128" customFormat="1" hidden="1">
      <c r="A1959" s="655">
        <v>62857</v>
      </c>
      <c r="B1959" s="656" t="s">
        <v>33</v>
      </c>
      <c r="C1959" s="655" t="s">
        <v>2793</v>
      </c>
      <c r="D1959" s="656" t="s">
        <v>3399</v>
      </c>
      <c r="E1959" s="656" t="s">
        <v>3400</v>
      </c>
      <c r="F1959" s="655">
        <v>62743</v>
      </c>
      <c r="G1959" s="656" t="s">
        <v>90</v>
      </c>
      <c r="H1959" s="656" t="s">
        <v>1183</v>
      </c>
      <c r="I1959" s="656" t="s">
        <v>58</v>
      </c>
      <c r="J1959" s="655">
        <v>22</v>
      </c>
      <c r="K1959" s="655">
        <v>2</v>
      </c>
      <c r="L1959" s="656" t="s">
        <v>52</v>
      </c>
      <c r="M1959" s="656" t="s">
        <v>71</v>
      </c>
      <c r="N1959" s="656" t="s">
        <v>72</v>
      </c>
      <c r="O1959" s="656" t="s">
        <v>72</v>
      </c>
      <c r="P1959" s="656" t="s">
        <v>1176</v>
      </c>
      <c r="Q1959" s="657">
        <v>0</v>
      </c>
      <c r="R1959" s="657">
        <v>0</v>
      </c>
      <c r="S1959" s="657">
        <v>33161</v>
      </c>
      <c r="T1959" s="657">
        <v>33161</v>
      </c>
      <c r="U1959" s="657">
        <v>3750</v>
      </c>
      <c r="V1959" s="655">
        <v>2021</v>
      </c>
      <c r="W1959" s="659"/>
      <c r="X1959" s="660">
        <f t="shared" si="92"/>
        <v>8.8429333333333329</v>
      </c>
      <c r="Y1959" s="661" t="str">
        <f t="shared" si="90"/>
        <v/>
      </c>
      <c r="Z1959" s="661" t="str">
        <f t="shared" si="91"/>
        <v/>
      </c>
    </row>
    <row r="1960" spans="1:26" s="128" customFormat="1" ht="25" hidden="1">
      <c r="A1960" s="655">
        <v>62859</v>
      </c>
      <c r="B1960" s="656" t="s">
        <v>33</v>
      </c>
      <c r="C1960" s="655" t="s">
        <v>2793</v>
      </c>
      <c r="D1960" s="656" t="s">
        <v>2944</v>
      </c>
      <c r="E1960" s="656" t="s">
        <v>1047</v>
      </c>
      <c r="F1960" s="655">
        <v>20151</v>
      </c>
      <c r="G1960" s="656" t="s">
        <v>89</v>
      </c>
      <c r="H1960" s="656" t="s">
        <v>1183</v>
      </c>
      <c r="I1960" s="656" t="s">
        <v>58</v>
      </c>
      <c r="J1960" s="655">
        <v>22</v>
      </c>
      <c r="K1960" s="655">
        <v>1</v>
      </c>
      <c r="L1960" s="656" t="s">
        <v>34</v>
      </c>
      <c r="M1960" s="656" t="s">
        <v>51</v>
      </c>
      <c r="N1960" s="656" t="s">
        <v>63</v>
      </c>
      <c r="O1960" s="656" t="s">
        <v>64</v>
      </c>
      <c r="P1960" s="656" t="s">
        <v>1037</v>
      </c>
      <c r="Q1960" s="657">
        <v>1201200</v>
      </c>
      <c r="R1960" s="657">
        <v>1201200</v>
      </c>
      <c r="S1960" s="657">
        <v>565764</v>
      </c>
      <c r="T1960" s="657">
        <v>565764</v>
      </c>
      <c r="U1960" s="657">
        <v>53646</v>
      </c>
      <c r="V1960" s="655">
        <v>2021</v>
      </c>
      <c r="W1960" s="659"/>
      <c r="X1960" s="660">
        <f t="shared" si="92"/>
        <v>10.546247623308355</v>
      </c>
      <c r="Y1960" s="661" t="str">
        <f t="shared" si="90"/>
        <v/>
      </c>
      <c r="Z1960" s="661" t="str">
        <f t="shared" si="91"/>
        <v/>
      </c>
    </row>
    <row r="1961" spans="1:26" s="128" customFormat="1" hidden="1">
      <c r="A1961" s="655">
        <v>62860</v>
      </c>
      <c r="B1961" s="656" t="s">
        <v>33</v>
      </c>
      <c r="C1961" s="655" t="s">
        <v>2793</v>
      </c>
      <c r="D1961" s="656" t="s">
        <v>3164</v>
      </c>
      <c r="E1961" s="656" t="s">
        <v>3165</v>
      </c>
      <c r="F1961" s="655">
        <v>62881</v>
      </c>
      <c r="G1961" s="656" t="s">
        <v>57</v>
      </c>
      <c r="H1961" s="656" t="s">
        <v>1182</v>
      </c>
      <c r="I1961" s="656" t="s">
        <v>58</v>
      </c>
      <c r="J1961" s="655">
        <v>22</v>
      </c>
      <c r="K1961" s="655">
        <v>2</v>
      </c>
      <c r="L1961" s="656" t="s">
        <v>52</v>
      </c>
      <c r="M1961" s="656" t="s">
        <v>448</v>
      </c>
      <c r="N1961" s="656" t="s">
        <v>449</v>
      </c>
      <c r="O1961" s="656" t="s">
        <v>449</v>
      </c>
      <c r="P1961" s="656" t="s">
        <v>1176</v>
      </c>
      <c r="Q1961" s="657">
        <v>0</v>
      </c>
      <c r="R1961" s="657">
        <v>0</v>
      </c>
      <c r="S1961" s="657">
        <v>53491</v>
      </c>
      <c r="T1961" s="657">
        <v>53491</v>
      </c>
      <c r="U1961" s="657">
        <v>6049</v>
      </c>
      <c r="V1961" s="655">
        <v>2021</v>
      </c>
      <c r="W1961" s="659"/>
      <c r="X1961" s="660">
        <f t="shared" si="92"/>
        <v>8.842949247809555</v>
      </c>
      <c r="Y1961" s="661" t="str">
        <f t="shared" si="90"/>
        <v/>
      </c>
      <c r="Z1961" s="661" t="str">
        <f t="shared" si="91"/>
        <v/>
      </c>
    </row>
    <row r="1962" spans="1:26" s="128" customFormat="1">
      <c r="A1962" s="655">
        <v>62870</v>
      </c>
      <c r="B1962" s="656" t="s">
        <v>33</v>
      </c>
      <c r="C1962" s="655" t="s">
        <v>2793</v>
      </c>
      <c r="D1962" s="656" t="s">
        <v>2945</v>
      </c>
      <c r="E1962" s="656" t="s">
        <v>2946</v>
      </c>
      <c r="F1962" s="655">
        <v>62739</v>
      </c>
      <c r="G1962" s="656" t="s">
        <v>81</v>
      </c>
      <c r="H1962" s="656" t="s">
        <v>1183</v>
      </c>
      <c r="I1962" s="656" t="s">
        <v>58</v>
      </c>
      <c r="J1962" s="655">
        <v>22</v>
      </c>
      <c r="K1962" s="655">
        <v>2</v>
      </c>
      <c r="L1962" s="656" t="s">
        <v>52</v>
      </c>
      <c r="M1962" s="656" t="s">
        <v>448</v>
      </c>
      <c r="N1962" s="656" t="s">
        <v>449</v>
      </c>
      <c r="O1962" s="656" t="s">
        <v>449</v>
      </c>
      <c r="P1962" s="656" t="s">
        <v>1176</v>
      </c>
      <c r="Q1962" s="657">
        <v>0</v>
      </c>
      <c r="R1962" s="657">
        <v>0</v>
      </c>
      <c r="S1962" s="657">
        <v>34842</v>
      </c>
      <c r="T1962" s="657">
        <v>34842</v>
      </c>
      <c r="U1962" s="657">
        <v>3940</v>
      </c>
      <c r="V1962" s="655">
        <v>2021</v>
      </c>
      <c r="W1962" s="659"/>
      <c r="X1962" s="660">
        <f t="shared" si="92"/>
        <v>8.8431472081218274</v>
      </c>
      <c r="Y1962" s="661" t="str">
        <f t="shared" si="90"/>
        <v/>
      </c>
      <c r="Z1962" s="661" t="str">
        <f t="shared" si="91"/>
        <v/>
      </c>
    </row>
    <row r="1963" spans="1:26" s="128" customFormat="1" ht="25">
      <c r="A1963" s="655">
        <v>62890</v>
      </c>
      <c r="B1963" s="656" t="s">
        <v>33</v>
      </c>
      <c r="C1963" s="655" t="s">
        <v>2793</v>
      </c>
      <c r="D1963" s="656" t="s">
        <v>2947</v>
      </c>
      <c r="E1963" s="656" t="s">
        <v>2948</v>
      </c>
      <c r="F1963" s="655">
        <v>62762</v>
      </c>
      <c r="G1963" s="656" t="s">
        <v>81</v>
      </c>
      <c r="H1963" s="656" t="s">
        <v>1183</v>
      </c>
      <c r="I1963" s="656" t="s">
        <v>58</v>
      </c>
      <c r="J1963" s="655">
        <v>22</v>
      </c>
      <c r="K1963" s="655">
        <v>2</v>
      </c>
      <c r="L1963" s="656" t="s">
        <v>52</v>
      </c>
      <c r="M1963" s="656" t="s">
        <v>448</v>
      </c>
      <c r="N1963" s="656" t="s">
        <v>449</v>
      </c>
      <c r="O1963" s="656" t="s">
        <v>449</v>
      </c>
      <c r="P1963" s="656" t="s">
        <v>1176</v>
      </c>
      <c r="Q1963" s="657">
        <v>0</v>
      </c>
      <c r="R1963" s="657">
        <v>0</v>
      </c>
      <c r="S1963" s="657">
        <v>47461</v>
      </c>
      <c r="T1963" s="657">
        <v>47461</v>
      </c>
      <c r="U1963" s="657">
        <v>5367</v>
      </c>
      <c r="V1963" s="655">
        <v>2021</v>
      </c>
      <c r="W1963" s="659"/>
      <c r="X1963" s="660">
        <f t="shared" si="92"/>
        <v>8.8431153344512765</v>
      </c>
      <c r="Y1963" s="661" t="str">
        <f t="shared" si="90"/>
        <v/>
      </c>
      <c r="Z1963" s="661" t="str">
        <f t="shared" si="91"/>
        <v/>
      </c>
    </row>
    <row r="1964" spans="1:26" s="128" customFormat="1" ht="25">
      <c r="A1964" s="655">
        <v>62897</v>
      </c>
      <c r="B1964" s="656" t="s">
        <v>33</v>
      </c>
      <c r="C1964" s="655" t="s">
        <v>2793</v>
      </c>
      <c r="D1964" s="656" t="s">
        <v>2949</v>
      </c>
      <c r="E1964" s="656" t="s">
        <v>2327</v>
      </c>
      <c r="F1964" s="655">
        <v>60025</v>
      </c>
      <c r="G1964" s="656" t="s">
        <v>81</v>
      </c>
      <c r="H1964" s="656" t="s">
        <v>1183</v>
      </c>
      <c r="I1964" s="656" t="s">
        <v>58</v>
      </c>
      <c r="J1964" s="655">
        <v>22</v>
      </c>
      <c r="K1964" s="655">
        <v>2</v>
      </c>
      <c r="L1964" s="656" t="s">
        <v>52</v>
      </c>
      <c r="M1964" s="656" t="s">
        <v>71</v>
      </c>
      <c r="N1964" s="656" t="s">
        <v>72</v>
      </c>
      <c r="O1964" s="656" t="s">
        <v>72</v>
      </c>
      <c r="P1964" s="656" t="s">
        <v>1176</v>
      </c>
      <c r="Q1964" s="657">
        <v>0</v>
      </c>
      <c r="R1964" s="657">
        <v>0</v>
      </c>
      <c r="S1964" s="657">
        <v>98990</v>
      </c>
      <c r="T1964" s="657">
        <v>98990</v>
      </c>
      <c r="U1964" s="657">
        <v>11194</v>
      </c>
      <c r="V1964" s="655">
        <v>2021</v>
      </c>
      <c r="W1964" s="659"/>
      <c r="X1964" s="660">
        <f t="shared" si="92"/>
        <v>8.8431302483473289</v>
      </c>
      <c r="Y1964" s="661" t="str">
        <f t="shared" si="90"/>
        <v/>
      </c>
      <c r="Z1964" s="661" t="str">
        <f t="shared" si="91"/>
        <v/>
      </c>
    </row>
    <row r="1965" spans="1:26" s="128" customFormat="1" ht="25" hidden="1">
      <c r="A1965" s="655">
        <v>62898</v>
      </c>
      <c r="B1965" s="656" t="s">
        <v>33</v>
      </c>
      <c r="C1965" s="655" t="s">
        <v>2793</v>
      </c>
      <c r="D1965" s="656" t="s">
        <v>3166</v>
      </c>
      <c r="E1965" s="656" t="s">
        <v>2921</v>
      </c>
      <c r="F1965" s="655">
        <v>60531</v>
      </c>
      <c r="G1965" s="656" t="s">
        <v>131</v>
      </c>
      <c r="H1965" s="656" t="s">
        <v>1183</v>
      </c>
      <c r="I1965" s="656" t="s">
        <v>58</v>
      </c>
      <c r="J1965" s="655">
        <v>22</v>
      </c>
      <c r="K1965" s="655">
        <v>2</v>
      </c>
      <c r="L1965" s="656" t="s">
        <v>52</v>
      </c>
      <c r="M1965" s="656" t="s">
        <v>448</v>
      </c>
      <c r="N1965" s="656" t="s">
        <v>449</v>
      </c>
      <c r="O1965" s="656" t="s">
        <v>449</v>
      </c>
      <c r="P1965" s="656" t="s">
        <v>1176</v>
      </c>
      <c r="Q1965" s="657">
        <v>0</v>
      </c>
      <c r="R1965" s="657">
        <v>0</v>
      </c>
      <c r="S1965" s="657">
        <v>38130</v>
      </c>
      <c r="T1965" s="657">
        <v>38130</v>
      </c>
      <c r="U1965" s="657">
        <v>4312</v>
      </c>
      <c r="V1965" s="655">
        <v>2021</v>
      </c>
      <c r="W1965" s="659"/>
      <c r="X1965" s="660">
        <f t="shared" si="92"/>
        <v>8.8427643784786643</v>
      </c>
      <c r="Y1965" s="661" t="str">
        <f t="shared" si="90"/>
        <v/>
      </c>
      <c r="Z1965" s="661" t="str">
        <f t="shared" si="91"/>
        <v/>
      </c>
    </row>
    <row r="1966" spans="1:26" s="128" customFormat="1" ht="25" hidden="1">
      <c r="A1966" s="655">
        <v>62907</v>
      </c>
      <c r="B1966" s="656" t="s">
        <v>33</v>
      </c>
      <c r="C1966" s="655" t="s">
        <v>2793</v>
      </c>
      <c r="D1966" s="656" t="s">
        <v>2950</v>
      </c>
      <c r="E1966" s="656" t="s">
        <v>2951</v>
      </c>
      <c r="F1966" s="655">
        <v>61522</v>
      </c>
      <c r="G1966" s="656" t="s">
        <v>89</v>
      </c>
      <c r="H1966" s="656" t="s">
        <v>1183</v>
      </c>
      <c r="I1966" s="656" t="s">
        <v>58</v>
      </c>
      <c r="J1966" s="655">
        <v>22</v>
      </c>
      <c r="K1966" s="655">
        <v>2</v>
      </c>
      <c r="L1966" s="656" t="s">
        <v>52</v>
      </c>
      <c r="M1966" s="656" t="s">
        <v>1890</v>
      </c>
      <c r="N1966" s="656" t="s">
        <v>1052</v>
      </c>
      <c r="O1966" s="656" t="s">
        <v>82</v>
      </c>
      <c r="P1966" s="656" t="s">
        <v>2794</v>
      </c>
      <c r="Q1966" s="657">
        <v>3580</v>
      </c>
      <c r="R1966" s="657">
        <v>3580</v>
      </c>
      <c r="S1966" s="657">
        <v>0</v>
      </c>
      <c r="T1966" s="657">
        <v>0</v>
      </c>
      <c r="U1966" s="657">
        <v>-323</v>
      </c>
      <c r="V1966" s="655">
        <v>2021</v>
      </c>
      <c r="W1966" s="659"/>
      <c r="X1966" s="660" t="str">
        <f t="shared" si="92"/>
        <v/>
      </c>
      <c r="Y1966" s="661" t="str">
        <f t="shared" si="90"/>
        <v/>
      </c>
      <c r="Z1966" s="661" t="str">
        <f t="shared" si="91"/>
        <v/>
      </c>
    </row>
    <row r="1967" spans="1:26" s="128" customFormat="1">
      <c r="A1967" s="655">
        <v>62911</v>
      </c>
      <c r="B1967" s="656" t="s">
        <v>33</v>
      </c>
      <c r="C1967" s="655" t="s">
        <v>2793</v>
      </c>
      <c r="D1967" s="656" t="s">
        <v>2952</v>
      </c>
      <c r="E1967" s="656" t="s">
        <v>2953</v>
      </c>
      <c r="F1967" s="655">
        <v>62773</v>
      </c>
      <c r="G1967" s="656" t="s">
        <v>81</v>
      </c>
      <c r="H1967" s="656" t="s">
        <v>1183</v>
      </c>
      <c r="I1967" s="656" t="s">
        <v>58</v>
      </c>
      <c r="J1967" s="655">
        <v>22</v>
      </c>
      <c r="K1967" s="655">
        <v>2</v>
      </c>
      <c r="L1967" s="656" t="s">
        <v>52</v>
      </c>
      <c r="M1967" s="656" t="s">
        <v>448</v>
      </c>
      <c r="N1967" s="656" t="s">
        <v>449</v>
      </c>
      <c r="O1967" s="656" t="s">
        <v>449</v>
      </c>
      <c r="P1967" s="656" t="s">
        <v>1176</v>
      </c>
      <c r="Q1967" s="657">
        <v>0</v>
      </c>
      <c r="R1967" s="657">
        <v>0</v>
      </c>
      <c r="S1967" s="657">
        <v>27669</v>
      </c>
      <c r="T1967" s="657">
        <v>27669</v>
      </c>
      <c r="U1967" s="657">
        <v>3129</v>
      </c>
      <c r="V1967" s="655">
        <v>2021</v>
      </c>
      <c r="W1967" s="659"/>
      <c r="X1967" s="660">
        <f t="shared" si="92"/>
        <v>8.8427612655800569</v>
      </c>
      <c r="Y1967" s="661" t="str">
        <f t="shared" si="90"/>
        <v/>
      </c>
      <c r="Z1967" s="661" t="str">
        <f t="shared" si="91"/>
        <v/>
      </c>
    </row>
    <row r="1968" spans="1:26" s="128" customFormat="1" hidden="1">
      <c r="A1968" s="655">
        <v>62920</v>
      </c>
      <c r="B1968" s="656" t="s">
        <v>54</v>
      </c>
      <c r="C1968" s="655" t="s">
        <v>2793</v>
      </c>
      <c r="D1968" s="656" t="s">
        <v>2954</v>
      </c>
      <c r="E1968" s="656" t="s">
        <v>2954</v>
      </c>
      <c r="F1968" s="655">
        <v>62777</v>
      </c>
      <c r="G1968" s="656" t="s">
        <v>57</v>
      </c>
      <c r="H1968" s="656" t="s">
        <v>1182</v>
      </c>
      <c r="I1968" s="656" t="s">
        <v>58</v>
      </c>
      <c r="J1968" s="655">
        <v>22</v>
      </c>
      <c r="K1968" s="655">
        <v>3</v>
      </c>
      <c r="L1968" s="656" t="s">
        <v>55</v>
      </c>
      <c r="M1968" s="656" t="s">
        <v>51</v>
      </c>
      <c r="N1968" s="656" t="s">
        <v>39</v>
      </c>
      <c r="O1968" s="656" t="s">
        <v>39</v>
      </c>
      <c r="P1968" s="656" t="s">
        <v>1037</v>
      </c>
      <c r="Q1968" s="657">
        <v>223421</v>
      </c>
      <c r="R1968" s="657">
        <v>219438</v>
      </c>
      <c r="S1968" s="657">
        <v>231687</v>
      </c>
      <c r="T1968" s="657">
        <v>227557</v>
      </c>
      <c r="U1968" s="657">
        <v>20008</v>
      </c>
      <c r="V1968" s="655">
        <v>2021</v>
      </c>
      <c r="W1968" s="659"/>
      <c r="X1968" s="660">
        <f t="shared" si="92"/>
        <v>11.373300679728109</v>
      </c>
      <c r="Y1968" s="661" t="str">
        <f t="shared" si="90"/>
        <v/>
      </c>
      <c r="Z1968" s="661" t="str">
        <f t="shared" si="91"/>
        <v/>
      </c>
    </row>
    <row r="1969" spans="1:26" s="128" customFormat="1" ht="25">
      <c r="A1969" s="655">
        <v>62969</v>
      </c>
      <c r="B1969" s="656" t="s">
        <v>33</v>
      </c>
      <c r="C1969" s="655" t="s">
        <v>2793</v>
      </c>
      <c r="D1969" s="656" t="s">
        <v>3401</v>
      </c>
      <c r="E1969" s="656" t="s">
        <v>3402</v>
      </c>
      <c r="F1969" s="655">
        <v>62826</v>
      </c>
      <c r="G1969" s="656" t="s">
        <v>81</v>
      </c>
      <c r="H1969" s="656" t="s">
        <v>1183</v>
      </c>
      <c r="I1969" s="656" t="s">
        <v>58</v>
      </c>
      <c r="J1969" s="655">
        <v>22</v>
      </c>
      <c r="K1969" s="655">
        <v>2</v>
      </c>
      <c r="L1969" s="656" t="s">
        <v>52</v>
      </c>
      <c r="M1969" s="656" t="s">
        <v>1890</v>
      </c>
      <c r="N1969" s="656" t="s">
        <v>1052</v>
      </c>
      <c r="O1969" s="656" t="s">
        <v>82</v>
      </c>
      <c r="P1969" s="656" t="s">
        <v>2794</v>
      </c>
      <c r="Q1969" s="657">
        <v>81</v>
      </c>
      <c r="R1969" s="657">
        <v>81</v>
      </c>
      <c r="S1969" s="657">
        <v>0</v>
      </c>
      <c r="T1969" s="657">
        <v>0</v>
      </c>
      <c r="U1969" s="657">
        <v>-18</v>
      </c>
      <c r="V1969" s="655">
        <v>2021</v>
      </c>
      <c r="W1969" s="659"/>
      <c r="X1969" s="660" t="str">
        <f t="shared" si="92"/>
        <v/>
      </c>
      <c r="Y1969" s="661" t="str">
        <f t="shared" si="90"/>
        <v/>
      </c>
      <c r="Z1969" s="661" t="str">
        <f t="shared" si="91"/>
        <v/>
      </c>
    </row>
    <row r="1970" spans="1:26" s="128" customFormat="1" ht="25">
      <c r="A1970" s="655">
        <v>62969</v>
      </c>
      <c r="B1970" s="656" t="s">
        <v>33</v>
      </c>
      <c r="C1970" s="655" t="s">
        <v>2793</v>
      </c>
      <c r="D1970" s="656" t="s">
        <v>3401</v>
      </c>
      <c r="E1970" s="656" t="s">
        <v>3402</v>
      </c>
      <c r="F1970" s="655">
        <v>62826</v>
      </c>
      <c r="G1970" s="656" t="s">
        <v>81</v>
      </c>
      <c r="H1970" s="656" t="s">
        <v>1183</v>
      </c>
      <c r="I1970" s="656" t="s">
        <v>58</v>
      </c>
      <c r="J1970" s="655">
        <v>22</v>
      </c>
      <c r="K1970" s="655">
        <v>2</v>
      </c>
      <c r="L1970" s="656" t="s">
        <v>52</v>
      </c>
      <c r="M1970" s="656" t="s">
        <v>448</v>
      </c>
      <c r="N1970" s="656" t="s">
        <v>449</v>
      </c>
      <c r="O1970" s="656" t="s">
        <v>449</v>
      </c>
      <c r="P1970" s="656" t="s">
        <v>1176</v>
      </c>
      <c r="Q1970" s="657">
        <v>0</v>
      </c>
      <c r="R1970" s="657">
        <v>0</v>
      </c>
      <c r="S1970" s="657">
        <v>61185</v>
      </c>
      <c r="T1970" s="657">
        <v>61185</v>
      </c>
      <c r="U1970" s="657">
        <v>6919</v>
      </c>
      <c r="V1970" s="655">
        <v>2021</v>
      </c>
      <c r="W1970" s="659"/>
      <c r="X1970" s="660">
        <f t="shared" si="92"/>
        <v>8.8430409018644305</v>
      </c>
      <c r="Y1970" s="661" t="str">
        <f t="shared" si="90"/>
        <v/>
      </c>
      <c r="Z1970" s="661" t="str">
        <f t="shared" si="91"/>
        <v/>
      </c>
    </row>
    <row r="1971" spans="1:26" s="128" customFormat="1" ht="25">
      <c r="A1971" s="655">
        <v>62970</v>
      </c>
      <c r="B1971" s="656" t="s">
        <v>33</v>
      </c>
      <c r="C1971" s="655" t="s">
        <v>2793</v>
      </c>
      <c r="D1971" s="656" t="s">
        <v>3403</v>
      </c>
      <c r="E1971" s="656" t="s">
        <v>3404</v>
      </c>
      <c r="F1971" s="655">
        <v>62827</v>
      </c>
      <c r="G1971" s="656" t="s">
        <v>81</v>
      </c>
      <c r="H1971" s="656" t="s">
        <v>1183</v>
      </c>
      <c r="I1971" s="656" t="s">
        <v>58</v>
      </c>
      <c r="J1971" s="655">
        <v>22</v>
      </c>
      <c r="K1971" s="655">
        <v>2</v>
      </c>
      <c r="L1971" s="656" t="s">
        <v>52</v>
      </c>
      <c r="M1971" s="656" t="s">
        <v>1890</v>
      </c>
      <c r="N1971" s="656" t="s">
        <v>1052</v>
      </c>
      <c r="O1971" s="656" t="s">
        <v>82</v>
      </c>
      <c r="P1971" s="656" t="s">
        <v>2794</v>
      </c>
      <c r="Q1971" s="657">
        <v>223</v>
      </c>
      <c r="R1971" s="657">
        <v>223</v>
      </c>
      <c r="S1971" s="657">
        <v>0</v>
      </c>
      <c r="T1971" s="657">
        <v>0</v>
      </c>
      <c r="U1971" s="657">
        <v>-24</v>
      </c>
      <c r="V1971" s="655">
        <v>2021</v>
      </c>
      <c r="W1971" s="659"/>
      <c r="X1971" s="660" t="str">
        <f t="shared" si="92"/>
        <v/>
      </c>
      <c r="Y1971" s="661" t="str">
        <f t="shared" si="90"/>
        <v/>
      </c>
      <c r="Z1971" s="661" t="str">
        <f t="shared" si="91"/>
        <v/>
      </c>
    </row>
    <row r="1972" spans="1:26" s="128" customFormat="1" ht="25">
      <c r="A1972" s="655">
        <v>62970</v>
      </c>
      <c r="B1972" s="656" t="s">
        <v>33</v>
      </c>
      <c r="C1972" s="655" t="s">
        <v>2793</v>
      </c>
      <c r="D1972" s="656" t="s">
        <v>3403</v>
      </c>
      <c r="E1972" s="656" t="s">
        <v>3404</v>
      </c>
      <c r="F1972" s="655">
        <v>62827</v>
      </c>
      <c r="G1972" s="656" t="s">
        <v>81</v>
      </c>
      <c r="H1972" s="656" t="s">
        <v>1183</v>
      </c>
      <c r="I1972" s="656" t="s">
        <v>58</v>
      </c>
      <c r="J1972" s="655">
        <v>22</v>
      </c>
      <c r="K1972" s="655">
        <v>2</v>
      </c>
      <c r="L1972" s="656" t="s">
        <v>52</v>
      </c>
      <c r="M1972" s="656" t="s">
        <v>448</v>
      </c>
      <c r="N1972" s="656" t="s">
        <v>449</v>
      </c>
      <c r="O1972" s="656" t="s">
        <v>449</v>
      </c>
      <c r="P1972" s="656" t="s">
        <v>1176</v>
      </c>
      <c r="Q1972" s="657">
        <v>0</v>
      </c>
      <c r="R1972" s="657">
        <v>0</v>
      </c>
      <c r="S1972" s="657">
        <v>57304</v>
      </c>
      <c r="T1972" s="657">
        <v>57304</v>
      </c>
      <c r="U1972" s="657">
        <v>6480</v>
      </c>
      <c r="V1972" s="655">
        <v>2021</v>
      </c>
      <c r="W1972" s="659"/>
      <c r="X1972" s="660">
        <f t="shared" si="92"/>
        <v>8.8432098765432094</v>
      </c>
      <c r="Y1972" s="661" t="str">
        <f t="shared" si="90"/>
        <v/>
      </c>
      <c r="Z1972" s="661" t="str">
        <f t="shared" si="91"/>
        <v/>
      </c>
    </row>
    <row r="1973" spans="1:26" s="128" customFormat="1" ht="25">
      <c r="A1973" s="655">
        <v>62972</v>
      </c>
      <c r="B1973" s="656" t="s">
        <v>33</v>
      </c>
      <c r="C1973" s="655" t="s">
        <v>2793</v>
      </c>
      <c r="D1973" s="656" t="s">
        <v>3405</v>
      </c>
      <c r="E1973" s="656" t="s">
        <v>3406</v>
      </c>
      <c r="F1973" s="655">
        <v>62814</v>
      </c>
      <c r="G1973" s="656" t="s">
        <v>81</v>
      </c>
      <c r="H1973" s="656" t="s">
        <v>1183</v>
      </c>
      <c r="I1973" s="656" t="s">
        <v>58</v>
      </c>
      <c r="J1973" s="655">
        <v>22</v>
      </c>
      <c r="K1973" s="655">
        <v>2</v>
      </c>
      <c r="L1973" s="656" t="s">
        <v>52</v>
      </c>
      <c r="M1973" s="656" t="s">
        <v>1890</v>
      </c>
      <c r="N1973" s="656" t="s">
        <v>1052</v>
      </c>
      <c r="O1973" s="656" t="s">
        <v>82</v>
      </c>
      <c r="P1973" s="656" t="s">
        <v>2794</v>
      </c>
      <c r="Q1973" s="657">
        <v>42</v>
      </c>
      <c r="R1973" s="657">
        <v>42</v>
      </c>
      <c r="S1973" s="657">
        <v>0</v>
      </c>
      <c r="T1973" s="657">
        <v>0</v>
      </c>
      <c r="U1973" s="657">
        <v>-2</v>
      </c>
      <c r="V1973" s="655">
        <v>2021</v>
      </c>
      <c r="W1973" s="659"/>
      <c r="X1973" s="660" t="str">
        <f t="shared" si="92"/>
        <v/>
      </c>
      <c r="Y1973" s="661" t="str">
        <f t="shared" si="90"/>
        <v/>
      </c>
      <c r="Z1973" s="661" t="str">
        <f t="shared" si="91"/>
        <v/>
      </c>
    </row>
    <row r="1974" spans="1:26" s="128" customFormat="1" ht="25">
      <c r="A1974" s="655">
        <v>62972</v>
      </c>
      <c r="B1974" s="656" t="s">
        <v>33</v>
      </c>
      <c r="C1974" s="655" t="s">
        <v>2793</v>
      </c>
      <c r="D1974" s="656" t="s">
        <v>3405</v>
      </c>
      <c r="E1974" s="656" t="s">
        <v>3406</v>
      </c>
      <c r="F1974" s="655">
        <v>62814</v>
      </c>
      <c r="G1974" s="656" t="s">
        <v>81</v>
      </c>
      <c r="H1974" s="656" t="s">
        <v>1183</v>
      </c>
      <c r="I1974" s="656" t="s">
        <v>58</v>
      </c>
      <c r="J1974" s="655">
        <v>22</v>
      </c>
      <c r="K1974" s="655">
        <v>2</v>
      </c>
      <c r="L1974" s="656" t="s">
        <v>52</v>
      </c>
      <c r="M1974" s="656" t="s">
        <v>448</v>
      </c>
      <c r="N1974" s="656" t="s">
        <v>449</v>
      </c>
      <c r="O1974" s="656" t="s">
        <v>449</v>
      </c>
      <c r="P1974" s="656" t="s">
        <v>1176</v>
      </c>
      <c r="Q1974" s="657">
        <v>0</v>
      </c>
      <c r="R1974" s="657">
        <v>0</v>
      </c>
      <c r="S1974" s="657">
        <v>10346</v>
      </c>
      <c r="T1974" s="657">
        <v>10346</v>
      </c>
      <c r="U1974" s="657">
        <v>1170</v>
      </c>
      <c r="V1974" s="655">
        <v>2021</v>
      </c>
      <c r="W1974" s="659"/>
      <c r="X1974" s="660">
        <f t="shared" si="92"/>
        <v>8.8427350427350433</v>
      </c>
      <c r="Y1974" s="661" t="str">
        <f t="shared" si="90"/>
        <v/>
      </c>
      <c r="Z1974" s="661" t="str">
        <f t="shared" si="91"/>
        <v/>
      </c>
    </row>
    <row r="1975" spans="1:26" s="128" customFormat="1" ht="25">
      <c r="A1975" s="655">
        <v>62973</v>
      </c>
      <c r="B1975" s="656" t="s">
        <v>33</v>
      </c>
      <c r="C1975" s="655" t="s">
        <v>2793</v>
      </c>
      <c r="D1975" s="656" t="s">
        <v>3167</v>
      </c>
      <c r="E1975" s="656" t="s">
        <v>3168</v>
      </c>
      <c r="F1975" s="655">
        <v>62819</v>
      </c>
      <c r="G1975" s="656" t="s">
        <v>81</v>
      </c>
      <c r="H1975" s="656" t="s">
        <v>1183</v>
      </c>
      <c r="I1975" s="656" t="s">
        <v>58</v>
      </c>
      <c r="J1975" s="655">
        <v>22</v>
      </c>
      <c r="K1975" s="655">
        <v>2</v>
      </c>
      <c r="L1975" s="656" t="s">
        <v>52</v>
      </c>
      <c r="M1975" s="656" t="s">
        <v>1890</v>
      </c>
      <c r="N1975" s="656" t="s">
        <v>1052</v>
      </c>
      <c r="O1975" s="656" t="s">
        <v>82</v>
      </c>
      <c r="P1975" s="656" t="s">
        <v>2794</v>
      </c>
      <c r="Q1975" s="657">
        <v>339</v>
      </c>
      <c r="R1975" s="657">
        <v>339</v>
      </c>
      <c r="S1975" s="657">
        <v>0</v>
      </c>
      <c r="T1975" s="657">
        <v>0</v>
      </c>
      <c r="U1975" s="657">
        <v>-14</v>
      </c>
      <c r="V1975" s="655">
        <v>2021</v>
      </c>
      <c r="W1975" s="659"/>
      <c r="X1975" s="660" t="str">
        <f t="shared" si="92"/>
        <v/>
      </c>
      <c r="Y1975" s="661" t="str">
        <f t="shared" si="90"/>
        <v/>
      </c>
      <c r="Z1975" s="661" t="str">
        <f t="shared" si="91"/>
        <v/>
      </c>
    </row>
    <row r="1976" spans="1:26" s="128" customFormat="1" ht="25">
      <c r="A1976" s="655">
        <v>62973</v>
      </c>
      <c r="B1976" s="656" t="s">
        <v>33</v>
      </c>
      <c r="C1976" s="655" t="s">
        <v>2793</v>
      </c>
      <c r="D1976" s="656" t="s">
        <v>3167</v>
      </c>
      <c r="E1976" s="656" t="s">
        <v>3168</v>
      </c>
      <c r="F1976" s="655">
        <v>62819</v>
      </c>
      <c r="G1976" s="656" t="s">
        <v>81</v>
      </c>
      <c r="H1976" s="656" t="s">
        <v>1183</v>
      </c>
      <c r="I1976" s="656" t="s">
        <v>58</v>
      </c>
      <c r="J1976" s="655">
        <v>22</v>
      </c>
      <c r="K1976" s="655">
        <v>2</v>
      </c>
      <c r="L1976" s="656" t="s">
        <v>52</v>
      </c>
      <c r="M1976" s="656" t="s">
        <v>448</v>
      </c>
      <c r="N1976" s="656" t="s">
        <v>449</v>
      </c>
      <c r="O1976" s="656" t="s">
        <v>449</v>
      </c>
      <c r="P1976" s="656" t="s">
        <v>1176</v>
      </c>
      <c r="Q1976" s="657">
        <v>0</v>
      </c>
      <c r="R1976" s="657">
        <v>0</v>
      </c>
      <c r="S1976" s="657">
        <v>24462</v>
      </c>
      <c r="T1976" s="657">
        <v>24462</v>
      </c>
      <c r="U1976" s="657">
        <v>2766</v>
      </c>
      <c r="V1976" s="655">
        <v>2021</v>
      </c>
      <c r="W1976" s="659"/>
      <c r="X1976" s="660">
        <f t="shared" si="92"/>
        <v>8.8438177874186543</v>
      </c>
      <c r="Y1976" s="661" t="str">
        <f t="shared" si="90"/>
        <v/>
      </c>
      <c r="Z1976" s="661" t="str">
        <f t="shared" si="91"/>
        <v/>
      </c>
    </row>
    <row r="1977" spans="1:26" s="128" customFormat="1" ht="25">
      <c r="A1977" s="655">
        <v>62975</v>
      </c>
      <c r="B1977" s="656" t="s">
        <v>33</v>
      </c>
      <c r="C1977" s="655" t="s">
        <v>2793</v>
      </c>
      <c r="D1977" s="656" t="s">
        <v>2955</v>
      </c>
      <c r="E1977" s="656" t="s">
        <v>2956</v>
      </c>
      <c r="F1977" s="655">
        <v>62822</v>
      </c>
      <c r="G1977" s="656" t="s">
        <v>81</v>
      </c>
      <c r="H1977" s="656" t="s">
        <v>1183</v>
      </c>
      <c r="I1977" s="656" t="s">
        <v>58</v>
      </c>
      <c r="J1977" s="655">
        <v>22</v>
      </c>
      <c r="K1977" s="655">
        <v>2</v>
      </c>
      <c r="L1977" s="656" t="s">
        <v>52</v>
      </c>
      <c r="M1977" s="656" t="s">
        <v>1890</v>
      </c>
      <c r="N1977" s="656" t="s">
        <v>1052</v>
      </c>
      <c r="O1977" s="656" t="s">
        <v>82</v>
      </c>
      <c r="P1977" s="656" t="s">
        <v>2794</v>
      </c>
      <c r="Q1977" s="657">
        <v>589</v>
      </c>
      <c r="R1977" s="657">
        <v>589</v>
      </c>
      <c r="S1977" s="657">
        <v>0</v>
      </c>
      <c r="T1977" s="657">
        <v>0</v>
      </c>
      <c r="U1977" s="657">
        <v>-122</v>
      </c>
      <c r="V1977" s="655">
        <v>2021</v>
      </c>
      <c r="W1977" s="659"/>
      <c r="X1977" s="660" t="str">
        <f t="shared" si="92"/>
        <v/>
      </c>
      <c r="Y1977" s="661" t="str">
        <f t="shared" si="90"/>
        <v/>
      </c>
      <c r="Z1977" s="661" t="str">
        <f t="shared" si="91"/>
        <v/>
      </c>
    </row>
    <row r="1978" spans="1:26" s="128" customFormat="1" ht="25">
      <c r="A1978" s="655">
        <v>62975</v>
      </c>
      <c r="B1978" s="656" t="s">
        <v>33</v>
      </c>
      <c r="C1978" s="655" t="s">
        <v>2793</v>
      </c>
      <c r="D1978" s="656" t="s">
        <v>2955</v>
      </c>
      <c r="E1978" s="656" t="s">
        <v>2956</v>
      </c>
      <c r="F1978" s="655">
        <v>62822</v>
      </c>
      <c r="G1978" s="656" t="s">
        <v>81</v>
      </c>
      <c r="H1978" s="656" t="s">
        <v>1183</v>
      </c>
      <c r="I1978" s="656" t="s">
        <v>58</v>
      </c>
      <c r="J1978" s="655">
        <v>22</v>
      </c>
      <c r="K1978" s="655">
        <v>2</v>
      </c>
      <c r="L1978" s="656" t="s">
        <v>52</v>
      </c>
      <c r="M1978" s="656" t="s">
        <v>448</v>
      </c>
      <c r="N1978" s="656" t="s">
        <v>449</v>
      </c>
      <c r="O1978" s="656" t="s">
        <v>449</v>
      </c>
      <c r="P1978" s="656" t="s">
        <v>1176</v>
      </c>
      <c r="Q1978" s="657">
        <v>0</v>
      </c>
      <c r="R1978" s="657">
        <v>0</v>
      </c>
      <c r="S1978" s="657">
        <v>71027</v>
      </c>
      <c r="T1978" s="657">
        <v>71027</v>
      </c>
      <c r="U1978" s="657">
        <v>8032</v>
      </c>
      <c r="V1978" s="655">
        <v>2021</v>
      </c>
      <c r="W1978" s="659"/>
      <c r="X1978" s="660">
        <f t="shared" si="92"/>
        <v>8.8430029880478092</v>
      </c>
      <c r="Y1978" s="661" t="str">
        <f t="shared" si="90"/>
        <v/>
      </c>
      <c r="Z1978" s="661" t="str">
        <f t="shared" si="91"/>
        <v/>
      </c>
    </row>
    <row r="1979" spans="1:26" s="128" customFormat="1" ht="25">
      <c r="A1979" s="655">
        <v>62976</v>
      </c>
      <c r="B1979" s="656" t="s">
        <v>33</v>
      </c>
      <c r="C1979" s="655" t="s">
        <v>2793</v>
      </c>
      <c r="D1979" s="656" t="s">
        <v>3169</v>
      </c>
      <c r="E1979" s="656" t="s">
        <v>3170</v>
      </c>
      <c r="F1979" s="655">
        <v>62821</v>
      </c>
      <c r="G1979" s="656" t="s">
        <v>81</v>
      </c>
      <c r="H1979" s="656" t="s">
        <v>1183</v>
      </c>
      <c r="I1979" s="656" t="s">
        <v>58</v>
      </c>
      <c r="J1979" s="655">
        <v>22</v>
      </c>
      <c r="K1979" s="655">
        <v>2</v>
      </c>
      <c r="L1979" s="656" t="s">
        <v>52</v>
      </c>
      <c r="M1979" s="656" t="s">
        <v>1890</v>
      </c>
      <c r="N1979" s="656" t="s">
        <v>1052</v>
      </c>
      <c r="O1979" s="656" t="s">
        <v>82</v>
      </c>
      <c r="P1979" s="656" t="s">
        <v>2794</v>
      </c>
      <c r="Q1979" s="657">
        <v>76</v>
      </c>
      <c r="R1979" s="657">
        <v>76</v>
      </c>
      <c r="S1979" s="657">
        <v>0</v>
      </c>
      <c r="T1979" s="657">
        <v>0</v>
      </c>
      <c r="U1979" s="657">
        <v>-12</v>
      </c>
      <c r="V1979" s="655">
        <v>2021</v>
      </c>
      <c r="W1979" s="659"/>
      <c r="X1979" s="660" t="str">
        <f t="shared" si="92"/>
        <v/>
      </c>
      <c r="Y1979" s="661" t="str">
        <f t="shared" si="90"/>
        <v/>
      </c>
      <c r="Z1979" s="661" t="str">
        <f t="shared" si="91"/>
        <v/>
      </c>
    </row>
    <row r="1980" spans="1:26" s="128" customFormat="1" ht="25">
      <c r="A1980" s="655">
        <v>62976</v>
      </c>
      <c r="B1980" s="656" t="s">
        <v>33</v>
      </c>
      <c r="C1980" s="655" t="s">
        <v>2793</v>
      </c>
      <c r="D1980" s="656" t="s">
        <v>3169</v>
      </c>
      <c r="E1980" s="656" t="s">
        <v>3170</v>
      </c>
      <c r="F1980" s="655">
        <v>62821</v>
      </c>
      <c r="G1980" s="656" t="s">
        <v>81</v>
      </c>
      <c r="H1980" s="656" t="s">
        <v>1183</v>
      </c>
      <c r="I1980" s="656" t="s">
        <v>58</v>
      </c>
      <c r="J1980" s="655">
        <v>22</v>
      </c>
      <c r="K1980" s="655">
        <v>2</v>
      </c>
      <c r="L1980" s="656" t="s">
        <v>52</v>
      </c>
      <c r="M1980" s="656" t="s">
        <v>448</v>
      </c>
      <c r="N1980" s="656" t="s">
        <v>449</v>
      </c>
      <c r="O1980" s="656" t="s">
        <v>449</v>
      </c>
      <c r="P1980" s="656" t="s">
        <v>1176</v>
      </c>
      <c r="Q1980" s="657">
        <v>0</v>
      </c>
      <c r="R1980" s="657">
        <v>0</v>
      </c>
      <c r="S1980" s="657">
        <v>37290</v>
      </c>
      <c r="T1980" s="657">
        <v>37290</v>
      </c>
      <c r="U1980" s="657">
        <v>4217</v>
      </c>
      <c r="V1980" s="655">
        <v>2021</v>
      </c>
      <c r="W1980" s="659"/>
      <c r="X1980" s="660">
        <f t="shared" si="92"/>
        <v>8.8427792269385819</v>
      </c>
      <c r="Y1980" s="661" t="str">
        <f t="shared" si="90"/>
        <v/>
      </c>
      <c r="Z1980" s="661" t="str">
        <f t="shared" si="91"/>
        <v/>
      </c>
    </row>
    <row r="1981" spans="1:26" s="128" customFormat="1" ht="25">
      <c r="A1981" s="655">
        <v>62977</v>
      </c>
      <c r="B1981" s="656" t="s">
        <v>33</v>
      </c>
      <c r="C1981" s="655" t="s">
        <v>2793</v>
      </c>
      <c r="D1981" s="656" t="s">
        <v>3407</v>
      </c>
      <c r="E1981" s="656" t="s">
        <v>3408</v>
      </c>
      <c r="F1981" s="655">
        <v>62824</v>
      </c>
      <c r="G1981" s="656" t="s">
        <v>81</v>
      </c>
      <c r="H1981" s="656" t="s">
        <v>1183</v>
      </c>
      <c r="I1981" s="656" t="s">
        <v>58</v>
      </c>
      <c r="J1981" s="655">
        <v>22</v>
      </c>
      <c r="K1981" s="655">
        <v>2</v>
      </c>
      <c r="L1981" s="656" t="s">
        <v>52</v>
      </c>
      <c r="M1981" s="656" t="s">
        <v>448</v>
      </c>
      <c r="N1981" s="656" t="s">
        <v>449</v>
      </c>
      <c r="O1981" s="656" t="s">
        <v>449</v>
      </c>
      <c r="P1981" s="656" t="s">
        <v>1176</v>
      </c>
      <c r="Q1981" s="657">
        <v>0</v>
      </c>
      <c r="R1981" s="657">
        <v>0</v>
      </c>
      <c r="S1981" s="657">
        <v>53</v>
      </c>
      <c r="T1981" s="657">
        <v>53</v>
      </c>
      <c r="U1981" s="657">
        <v>6</v>
      </c>
      <c r="V1981" s="655">
        <v>2021</v>
      </c>
      <c r="W1981" s="659"/>
      <c r="X1981" s="660">
        <f t="shared" si="92"/>
        <v>8.8333333333333339</v>
      </c>
      <c r="Y1981" s="661" t="str">
        <f t="shared" si="90"/>
        <v/>
      </c>
      <c r="Z1981" s="661" t="str">
        <f t="shared" si="91"/>
        <v/>
      </c>
    </row>
    <row r="1982" spans="1:26" s="128" customFormat="1" ht="25">
      <c r="A1982" s="655">
        <v>62978</v>
      </c>
      <c r="B1982" s="656" t="s">
        <v>33</v>
      </c>
      <c r="C1982" s="655" t="s">
        <v>2793</v>
      </c>
      <c r="D1982" s="656" t="s">
        <v>3409</v>
      </c>
      <c r="E1982" s="656" t="s">
        <v>3410</v>
      </c>
      <c r="F1982" s="655">
        <v>62825</v>
      </c>
      <c r="G1982" s="656" t="s">
        <v>81</v>
      </c>
      <c r="H1982" s="656" t="s">
        <v>1183</v>
      </c>
      <c r="I1982" s="656" t="s">
        <v>58</v>
      </c>
      <c r="J1982" s="655">
        <v>22</v>
      </c>
      <c r="K1982" s="655">
        <v>2</v>
      </c>
      <c r="L1982" s="656" t="s">
        <v>52</v>
      </c>
      <c r="M1982" s="656" t="s">
        <v>1890</v>
      </c>
      <c r="N1982" s="656" t="s">
        <v>1052</v>
      </c>
      <c r="O1982" s="656" t="s">
        <v>82</v>
      </c>
      <c r="P1982" s="656" t="s">
        <v>2794</v>
      </c>
      <c r="Q1982" s="657">
        <v>245</v>
      </c>
      <c r="R1982" s="657">
        <v>245</v>
      </c>
      <c r="S1982" s="657">
        <v>0</v>
      </c>
      <c r="T1982" s="657">
        <v>0</v>
      </c>
      <c r="U1982" s="657">
        <v>-39</v>
      </c>
      <c r="V1982" s="655">
        <v>2021</v>
      </c>
      <c r="W1982" s="659"/>
      <c r="X1982" s="660" t="str">
        <f t="shared" si="92"/>
        <v/>
      </c>
      <c r="Y1982" s="661" t="str">
        <f t="shared" si="90"/>
        <v/>
      </c>
      <c r="Z1982" s="661" t="str">
        <f t="shared" si="91"/>
        <v/>
      </c>
    </row>
    <row r="1983" spans="1:26" s="128" customFormat="1" ht="25">
      <c r="A1983" s="655">
        <v>62978</v>
      </c>
      <c r="B1983" s="656" t="s">
        <v>33</v>
      </c>
      <c r="C1983" s="655" t="s">
        <v>2793</v>
      </c>
      <c r="D1983" s="656" t="s">
        <v>3409</v>
      </c>
      <c r="E1983" s="656" t="s">
        <v>3410</v>
      </c>
      <c r="F1983" s="655">
        <v>62825</v>
      </c>
      <c r="G1983" s="656" t="s">
        <v>81</v>
      </c>
      <c r="H1983" s="656" t="s">
        <v>1183</v>
      </c>
      <c r="I1983" s="656" t="s">
        <v>58</v>
      </c>
      <c r="J1983" s="655">
        <v>22</v>
      </c>
      <c r="K1983" s="655">
        <v>2</v>
      </c>
      <c r="L1983" s="656" t="s">
        <v>52</v>
      </c>
      <c r="M1983" s="656" t="s">
        <v>448</v>
      </c>
      <c r="N1983" s="656" t="s">
        <v>449</v>
      </c>
      <c r="O1983" s="656" t="s">
        <v>449</v>
      </c>
      <c r="P1983" s="656" t="s">
        <v>1176</v>
      </c>
      <c r="Q1983" s="657">
        <v>0</v>
      </c>
      <c r="R1983" s="657">
        <v>0</v>
      </c>
      <c r="S1983" s="657">
        <v>50361</v>
      </c>
      <c r="T1983" s="657">
        <v>50361</v>
      </c>
      <c r="U1983" s="657">
        <v>5695</v>
      </c>
      <c r="V1983" s="655">
        <v>2021</v>
      </c>
      <c r="W1983" s="659"/>
      <c r="X1983" s="660">
        <f t="shared" si="92"/>
        <v>8.8430201931518884</v>
      </c>
      <c r="Y1983" s="661" t="str">
        <f t="shared" si="90"/>
        <v/>
      </c>
      <c r="Z1983" s="661" t="str">
        <f t="shared" si="91"/>
        <v/>
      </c>
    </row>
    <row r="1984" spans="1:26" s="128" customFormat="1" ht="25" hidden="1">
      <c r="A1984" s="655">
        <v>62981</v>
      </c>
      <c r="B1984" s="656" t="s">
        <v>33</v>
      </c>
      <c r="C1984" s="655" t="s">
        <v>2793</v>
      </c>
      <c r="D1984" s="656" t="s">
        <v>2957</v>
      </c>
      <c r="E1984" s="656" t="s">
        <v>2958</v>
      </c>
      <c r="F1984" s="655">
        <v>56404</v>
      </c>
      <c r="G1984" s="656" t="s">
        <v>57</v>
      </c>
      <c r="H1984" s="656" t="s">
        <v>1182</v>
      </c>
      <c r="I1984" s="656" t="s">
        <v>58</v>
      </c>
      <c r="J1984" s="655">
        <v>22</v>
      </c>
      <c r="K1984" s="655">
        <v>1</v>
      </c>
      <c r="L1984" s="656" t="s">
        <v>34</v>
      </c>
      <c r="M1984" s="656" t="s">
        <v>1890</v>
      </c>
      <c r="N1984" s="656" t="s">
        <v>1052</v>
      </c>
      <c r="O1984" s="656" t="s">
        <v>82</v>
      </c>
      <c r="P1984" s="656" t="s">
        <v>2794</v>
      </c>
      <c r="Q1984" s="657">
        <v>200</v>
      </c>
      <c r="R1984" s="657">
        <v>200</v>
      </c>
      <c r="S1984" s="657">
        <v>0</v>
      </c>
      <c r="T1984" s="657">
        <v>0</v>
      </c>
      <c r="U1984" s="657">
        <v>-187</v>
      </c>
      <c r="V1984" s="655">
        <v>2021</v>
      </c>
      <c r="W1984" s="659"/>
      <c r="X1984" s="660" t="str">
        <f t="shared" si="92"/>
        <v/>
      </c>
      <c r="Y1984" s="661" t="str">
        <f t="shared" si="90"/>
        <v/>
      </c>
      <c r="Z1984" s="661" t="str">
        <f t="shared" si="91"/>
        <v/>
      </c>
    </row>
    <row r="1985" spans="1:26" s="128" customFormat="1">
      <c r="A1985" s="655">
        <v>62992</v>
      </c>
      <c r="B1985" s="656" t="s">
        <v>33</v>
      </c>
      <c r="C1985" s="655" t="s">
        <v>2793</v>
      </c>
      <c r="D1985" s="656" t="s">
        <v>2959</v>
      </c>
      <c r="E1985" s="656" t="s">
        <v>2960</v>
      </c>
      <c r="F1985" s="655">
        <v>62838</v>
      </c>
      <c r="G1985" s="656" t="s">
        <v>81</v>
      </c>
      <c r="H1985" s="656" t="s">
        <v>1183</v>
      </c>
      <c r="I1985" s="656" t="s">
        <v>58</v>
      </c>
      <c r="J1985" s="655">
        <v>22</v>
      </c>
      <c r="K1985" s="655">
        <v>2</v>
      </c>
      <c r="L1985" s="656" t="s">
        <v>52</v>
      </c>
      <c r="M1985" s="656" t="s">
        <v>448</v>
      </c>
      <c r="N1985" s="656" t="s">
        <v>449</v>
      </c>
      <c r="O1985" s="656" t="s">
        <v>449</v>
      </c>
      <c r="P1985" s="656" t="s">
        <v>1176</v>
      </c>
      <c r="Q1985" s="657">
        <v>0</v>
      </c>
      <c r="R1985" s="657">
        <v>0</v>
      </c>
      <c r="S1985" s="657">
        <v>61237</v>
      </c>
      <c r="T1985" s="657">
        <v>61237</v>
      </c>
      <c r="U1985" s="657">
        <v>6925</v>
      </c>
      <c r="V1985" s="655">
        <v>2021</v>
      </c>
      <c r="W1985" s="659"/>
      <c r="X1985" s="660">
        <f t="shared" si="92"/>
        <v>8.8428880866425992</v>
      </c>
      <c r="Y1985" s="661" t="str">
        <f t="shared" si="90"/>
        <v/>
      </c>
      <c r="Z1985" s="661" t="str">
        <f t="shared" si="91"/>
        <v/>
      </c>
    </row>
    <row r="1986" spans="1:26" s="128" customFormat="1" ht="25" hidden="1">
      <c r="A1986" s="655">
        <v>62998</v>
      </c>
      <c r="B1986" s="656" t="s">
        <v>33</v>
      </c>
      <c r="C1986" s="655" t="s">
        <v>2793</v>
      </c>
      <c r="D1986" s="656" t="s">
        <v>2961</v>
      </c>
      <c r="E1986" s="656" t="s">
        <v>2210</v>
      </c>
      <c r="F1986" s="655">
        <v>61012</v>
      </c>
      <c r="G1986" s="656" t="s">
        <v>57</v>
      </c>
      <c r="H1986" s="656" t="s">
        <v>1182</v>
      </c>
      <c r="I1986" s="656" t="s">
        <v>58</v>
      </c>
      <c r="J1986" s="655">
        <v>22</v>
      </c>
      <c r="K1986" s="655">
        <v>2</v>
      </c>
      <c r="L1986" s="656" t="s">
        <v>52</v>
      </c>
      <c r="M1986" s="656" t="s">
        <v>448</v>
      </c>
      <c r="N1986" s="656" t="s">
        <v>449</v>
      </c>
      <c r="O1986" s="656" t="s">
        <v>449</v>
      </c>
      <c r="P1986" s="656" t="s">
        <v>1176</v>
      </c>
      <c r="Q1986" s="657">
        <v>0</v>
      </c>
      <c r="R1986" s="657">
        <v>0</v>
      </c>
      <c r="S1986" s="657">
        <v>52476</v>
      </c>
      <c r="T1986" s="657">
        <v>52476</v>
      </c>
      <c r="U1986" s="657">
        <v>5934</v>
      </c>
      <c r="V1986" s="655">
        <v>2021</v>
      </c>
      <c r="W1986" s="659"/>
      <c r="X1986" s="660">
        <f t="shared" si="92"/>
        <v>8.8432760364004039</v>
      </c>
      <c r="Y1986" s="661" t="str">
        <f t="shared" si="90"/>
        <v/>
      </c>
      <c r="Z1986" s="661" t="str">
        <f t="shared" si="91"/>
        <v/>
      </c>
    </row>
    <row r="1987" spans="1:26" s="128" customFormat="1" ht="25" hidden="1">
      <c r="A1987" s="655">
        <v>62999</v>
      </c>
      <c r="B1987" s="656" t="s">
        <v>33</v>
      </c>
      <c r="C1987" s="655" t="s">
        <v>2793</v>
      </c>
      <c r="D1987" s="656" t="s">
        <v>3171</v>
      </c>
      <c r="E1987" s="656" t="s">
        <v>2210</v>
      </c>
      <c r="F1987" s="655">
        <v>61012</v>
      </c>
      <c r="G1987" s="656" t="s">
        <v>57</v>
      </c>
      <c r="H1987" s="656" t="s">
        <v>1182</v>
      </c>
      <c r="I1987" s="656" t="s">
        <v>58</v>
      </c>
      <c r="J1987" s="655">
        <v>22</v>
      </c>
      <c r="K1987" s="655">
        <v>2</v>
      </c>
      <c r="L1987" s="656" t="s">
        <v>52</v>
      </c>
      <c r="M1987" s="656" t="s">
        <v>1890</v>
      </c>
      <c r="N1987" s="656" t="s">
        <v>1052</v>
      </c>
      <c r="O1987" s="656" t="s">
        <v>82</v>
      </c>
      <c r="P1987" s="656" t="s">
        <v>2794</v>
      </c>
      <c r="Q1987" s="657">
        <v>38</v>
      </c>
      <c r="R1987" s="657">
        <v>38</v>
      </c>
      <c r="S1987" s="657">
        <v>0</v>
      </c>
      <c r="T1987" s="657">
        <v>0</v>
      </c>
      <c r="U1987" s="657">
        <v>-12</v>
      </c>
      <c r="V1987" s="655">
        <v>2021</v>
      </c>
      <c r="W1987" s="659"/>
      <c r="X1987" s="660" t="str">
        <f t="shared" si="92"/>
        <v/>
      </c>
      <c r="Y1987" s="661" t="str">
        <f t="shared" si="90"/>
        <v/>
      </c>
      <c r="Z1987" s="661" t="str">
        <f t="shared" si="91"/>
        <v/>
      </c>
    </row>
    <row r="1988" spans="1:26" s="128" customFormat="1" ht="25" hidden="1">
      <c r="A1988" s="655">
        <v>62999</v>
      </c>
      <c r="B1988" s="656" t="s">
        <v>33</v>
      </c>
      <c r="C1988" s="655" t="s">
        <v>2793</v>
      </c>
      <c r="D1988" s="656" t="s">
        <v>3171</v>
      </c>
      <c r="E1988" s="656" t="s">
        <v>2210</v>
      </c>
      <c r="F1988" s="655">
        <v>61012</v>
      </c>
      <c r="G1988" s="656" t="s">
        <v>57</v>
      </c>
      <c r="H1988" s="656" t="s">
        <v>1182</v>
      </c>
      <c r="I1988" s="656" t="s">
        <v>58</v>
      </c>
      <c r="J1988" s="655">
        <v>22</v>
      </c>
      <c r="K1988" s="655">
        <v>2</v>
      </c>
      <c r="L1988" s="656" t="s">
        <v>52</v>
      </c>
      <c r="M1988" s="656" t="s">
        <v>448</v>
      </c>
      <c r="N1988" s="656" t="s">
        <v>449</v>
      </c>
      <c r="O1988" s="656" t="s">
        <v>449</v>
      </c>
      <c r="P1988" s="656" t="s">
        <v>1176</v>
      </c>
      <c r="Q1988" s="657">
        <v>0</v>
      </c>
      <c r="R1988" s="657">
        <v>0</v>
      </c>
      <c r="S1988" s="657">
        <v>37487</v>
      </c>
      <c r="T1988" s="657">
        <v>37487</v>
      </c>
      <c r="U1988" s="657">
        <v>4239</v>
      </c>
      <c r="V1988" s="655">
        <v>2021</v>
      </c>
      <c r="W1988" s="659"/>
      <c r="X1988" s="660">
        <f t="shared" si="92"/>
        <v>8.8433592828497289</v>
      </c>
      <c r="Y1988" s="661" t="str">
        <f t="shared" si="90"/>
        <v/>
      </c>
      <c r="Z1988" s="661" t="str">
        <f t="shared" si="91"/>
        <v/>
      </c>
    </row>
    <row r="1989" spans="1:26" s="128" customFormat="1" ht="25" hidden="1">
      <c r="A1989" s="655">
        <v>63000</v>
      </c>
      <c r="B1989" s="656" t="s">
        <v>33</v>
      </c>
      <c r="C1989" s="655" t="s">
        <v>2793</v>
      </c>
      <c r="D1989" s="656" t="s">
        <v>2962</v>
      </c>
      <c r="E1989" s="656" t="s">
        <v>2210</v>
      </c>
      <c r="F1989" s="655">
        <v>61012</v>
      </c>
      <c r="G1989" s="656" t="s">
        <v>57</v>
      </c>
      <c r="H1989" s="656" t="s">
        <v>1182</v>
      </c>
      <c r="I1989" s="656" t="s">
        <v>58</v>
      </c>
      <c r="J1989" s="655">
        <v>22</v>
      </c>
      <c r="K1989" s="655">
        <v>2</v>
      </c>
      <c r="L1989" s="656" t="s">
        <v>52</v>
      </c>
      <c r="M1989" s="656" t="s">
        <v>1890</v>
      </c>
      <c r="N1989" s="656" t="s">
        <v>1052</v>
      </c>
      <c r="O1989" s="656" t="s">
        <v>82</v>
      </c>
      <c r="P1989" s="656" t="s">
        <v>2794</v>
      </c>
      <c r="Q1989" s="657">
        <v>414</v>
      </c>
      <c r="R1989" s="657">
        <v>414</v>
      </c>
      <c r="S1989" s="657">
        <v>0</v>
      </c>
      <c r="T1989" s="657">
        <v>0</v>
      </c>
      <c r="U1989" s="657">
        <v>-42</v>
      </c>
      <c r="V1989" s="655">
        <v>2021</v>
      </c>
      <c r="W1989" s="659"/>
      <c r="X1989" s="660" t="str">
        <f t="shared" si="92"/>
        <v/>
      </c>
      <c r="Y1989" s="661" t="str">
        <f t="shared" si="90"/>
        <v/>
      </c>
      <c r="Z1989" s="661" t="str">
        <f t="shared" si="91"/>
        <v/>
      </c>
    </row>
    <row r="1990" spans="1:26" s="128" customFormat="1" ht="25" hidden="1">
      <c r="A1990" s="655">
        <v>63000</v>
      </c>
      <c r="B1990" s="656" t="s">
        <v>33</v>
      </c>
      <c r="C1990" s="655" t="s">
        <v>2793</v>
      </c>
      <c r="D1990" s="656" t="s">
        <v>2962</v>
      </c>
      <c r="E1990" s="656" t="s">
        <v>2210</v>
      </c>
      <c r="F1990" s="655">
        <v>61012</v>
      </c>
      <c r="G1990" s="656" t="s">
        <v>57</v>
      </c>
      <c r="H1990" s="656" t="s">
        <v>1182</v>
      </c>
      <c r="I1990" s="656" t="s">
        <v>58</v>
      </c>
      <c r="J1990" s="655">
        <v>22</v>
      </c>
      <c r="K1990" s="655">
        <v>2</v>
      </c>
      <c r="L1990" s="656" t="s">
        <v>52</v>
      </c>
      <c r="M1990" s="656" t="s">
        <v>448</v>
      </c>
      <c r="N1990" s="656" t="s">
        <v>449</v>
      </c>
      <c r="O1990" s="656" t="s">
        <v>449</v>
      </c>
      <c r="P1990" s="656" t="s">
        <v>1176</v>
      </c>
      <c r="Q1990" s="657">
        <v>0</v>
      </c>
      <c r="R1990" s="657">
        <v>0</v>
      </c>
      <c r="S1990" s="657">
        <v>51227</v>
      </c>
      <c r="T1990" s="657">
        <v>51227</v>
      </c>
      <c r="U1990" s="657">
        <v>5793</v>
      </c>
      <c r="V1990" s="655">
        <v>2021</v>
      </c>
      <c r="W1990" s="659"/>
      <c r="X1990" s="660">
        <f t="shared" si="92"/>
        <v>8.8429138615570508</v>
      </c>
      <c r="Y1990" s="661" t="str">
        <f t="shared" si="90"/>
        <v/>
      </c>
      <c r="Z1990" s="661" t="str">
        <f t="shared" si="91"/>
        <v/>
      </c>
    </row>
    <row r="1991" spans="1:26" s="128" customFormat="1" ht="25">
      <c r="A1991" s="655">
        <v>63011</v>
      </c>
      <c r="B1991" s="656" t="s">
        <v>33</v>
      </c>
      <c r="C1991" s="655" t="s">
        <v>2793</v>
      </c>
      <c r="D1991" s="656" t="s">
        <v>3172</v>
      </c>
      <c r="E1991" s="656" t="s">
        <v>2210</v>
      </c>
      <c r="F1991" s="655">
        <v>61012</v>
      </c>
      <c r="G1991" s="656" t="s">
        <v>81</v>
      </c>
      <c r="H1991" s="656" t="s">
        <v>1183</v>
      </c>
      <c r="I1991" s="656" t="s">
        <v>58</v>
      </c>
      <c r="J1991" s="655">
        <v>22</v>
      </c>
      <c r="K1991" s="655">
        <v>2</v>
      </c>
      <c r="L1991" s="656" t="s">
        <v>52</v>
      </c>
      <c r="M1991" s="656" t="s">
        <v>1890</v>
      </c>
      <c r="N1991" s="656" t="s">
        <v>1052</v>
      </c>
      <c r="O1991" s="656" t="s">
        <v>82</v>
      </c>
      <c r="P1991" s="656" t="s">
        <v>2794</v>
      </c>
      <c r="Q1991" s="657">
        <v>665</v>
      </c>
      <c r="R1991" s="657">
        <v>665</v>
      </c>
      <c r="S1991" s="657">
        <v>0</v>
      </c>
      <c r="T1991" s="657">
        <v>0</v>
      </c>
      <c r="U1991" s="657">
        <v>-75</v>
      </c>
      <c r="V1991" s="655">
        <v>2021</v>
      </c>
      <c r="W1991" s="659"/>
      <c r="X1991" s="660" t="str">
        <f t="shared" si="92"/>
        <v/>
      </c>
      <c r="Y1991" s="661" t="str">
        <f t="shared" ref="Y1991:Y2054" si="93">IF(AND($M1991=$Y$2,$N1991=$Y$3,NOT($Q1991=$R1991),NOT($U1991=0)),IF($K1991=5,$S1991/($U1991+(8/5)*$U1991),IF($K1991=7,$S1991/($U1991+(29/25)*$U1991),"")),"")</f>
        <v/>
      </c>
      <c r="Z1991" s="661" t="str">
        <f t="shared" ref="Z1991:Z2054" si="94">IF(AND($M1991=$Y$2,$N1991=$Y$4,NOT($Q1991=$R1991),NOT($U1991=0)),IF($K1991=5,$S1991/($U1991+(8/5)*$U1991),IF($K1991=7,$S1991/($U1991+(29/25)*$U1991),"")),"")</f>
        <v/>
      </c>
    </row>
    <row r="1992" spans="1:26" s="128" customFormat="1" ht="25">
      <c r="A1992" s="655">
        <v>63011</v>
      </c>
      <c r="B1992" s="656" t="s">
        <v>33</v>
      </c>
      <c r="C1992" s="655" t="s">
        <v>2793</v>
      </c>
      <c r="D1992" s="656" t="s">
        <v>3172</v>
      </c>
      <c r="E1992" s="656" t="s">
        <v>2210</v>
      </c>
      <c r="F1992" s="655">
        <v>61012</v>
      </c>
      <c r="G1992" s="656" t="s">
        <v>81</v>
      </c>
      <c r="H1992" s="656" t="s">
        <v>1183</v>
      </c>
      <c r="I1992" s="656" t="s">
        <v>58</v>
      </c>
      <c r="J1992" s="655">
        <v>22</v>
      </c>
      <c r="K1992" s="655">
        <v>2</v>
      </c>
      <c r="L1992" s="656" t="s">
        <v>52</v>
      </c>
      <c r="M1992" s="656" t="s">
        <v>448</v>
      </c>
      <c r="N1992" s="656" t="s">
        <v>449</v>
      </c>
      <c r="O1992" s="656" t="s">
        <v>449</v>
      </c>
      <c r="P1992" s="656" t="s">
        <v>1176</v>
      </c>
      <c r="Q1992" s="657">
        <v>0</v>
      </c>
      <c r="R1992" s="657">
        <v>0</v>
      </c>
      <c r="S1992" s="657">
        <v>25670</v>
      </c>
      <c r="T1992" s="657">
        <v>25670</v>
      </c>
      <c r="U1992" s="657">
        <v>2903</v>
      </c>
      <c r="V1992" s="655">
        <v>2021</v>
      </c>
      <c r="W1992" s="659"/>
      <c r="X1992" s="660">
        <f t="shared" ref="X1992:X2055" si="95">IF(OR(K1992&gt;3,T1992=0,NOT(U1992&gt;0)),"",T1992/U1992)</f>
        <v>8.8425766448501548</v>
      </c>
      <c r="Y1992" s="661" t="str">
        <f t="shared" si="93"/>
        <v/>
      </c>
      <c r="Z1992" s="661" t="str">
        <f t="shared" si="94"/>
        <v/>
      </c>
    </row>
    <row r="1993" spans="1:26" s="128" customFormat="1" hidden="1">
      <c r="A1993" s="655">
        <v>63012</v>
      </c>
      <c r="B1993" s="656" t="s">
        <v>33</v>
      </c>
      <c r="C1993" s="655" t="s">
        <v>2793</v>
      </c>
      <c r="D1993" s="656" t="s">
        <v>2963</v>
      </c>
      <c r="E1993" s="656" t="s">
        <v>2210</v>
      </c>
      <c r="F1993" s="655">
        <v>61012</v>
      </c>
      <c r="G1993" s="656" t="s">
        <v>57</v>
      </c>
      <c r="H1993" s="656" t="s">
        <v>1182</v>
      </c>
      <c r="I1993" s="656" t="s">
        <v>58</v>
      </c>
      <c r="J1993" s="655">
        <v>22</v>
      </c>
      <c r="K1993" s="655">
        <v>2</v>
      </c>
      <c r="L1993" s="656" t="s">
        <v>52</v>
      </c>
      <c r="M1993" s="656" t="s">
        <v>448</v>
      </c>
      <c r="N1993" s="656" t="s">
        <v>449</v>
      </c>
      <c r="O1993" s="656" t="s">
        <v>449</v>
      </c>
      <c r="P1993" s="656" t="s">
        <v>1176</v>
      </c>
      <c r="Q1993" s="657">
        <v>0</v>
      </c>
      <c r="R1993" s="657">
        <v>0</v>
      </c>
      <c r="S1993" s="657">
        <v>53632</v>
      </c>
      <c r="T1993" s="657">
        <v>53632</v>
      </c>
      <c r="U1993" s="657">
        <v>6065</v>
      </c>
      <c r="V1993" s="655">
        <v>2021</v>
      </c>
      <c r="W1993" s="659"/>
      <c r="X1993" s="660">
        <f t="shared" si="95"/>
        <v>8.8428689200329753</v>
      </c>
      <c r="Y1993" s="661" t="str">
        <f t="shared" si="93"/>
        <v/>
      </c>
      <c r="Z1993" s="661" t="str">
        <f t="shared" si="94"/>
        <v/>
      </c>
    </row>
    <row r="1994" spans="1:26" s="128" customFormat="1" hidden="1">
      <c r="A1994" s="655">
        <v>63013</v>
      </c>
      <c r="B1994" s="656" t="s">
        <v>33</v>
      </c>
      <c r="C1994" s="655" t="s">
        <v>2793</v>
      </c>
      <c r="D1994" s="656" t="s">
        <v>2964</v>
      </c>
      <c r="E1994" s="656" t="s">
        <v>2210</v>
      </c>
      <c r="F1994" s="655">
        <v>61012</v>
      </c>
      <c r="G1994" s="656" t="s">
        <v>57</v>
      </c>
      <c r="H1994" s="656" t="s">
        <v>1182</v>
      </c>
      <c r="I1994" s="656" t="s">
        <v>58</v>
      </c>
      <c r="J1994" s="655">
        <v>22</v>
      </c>
      <c r="K1994" s="655">
        <v>2</v>
      </c>
      <c r="L1994" s="656" t="s">
        <v>52</v>
      </c>
      <c r="M1994" s="656" t="s">
        <v>448</v>
      </c>
      <c r="N1994" s="656" t="s">
        <v>449</v>
      </c>
      <c r="O1994" s="656" t="s">
        <v>449</v>
      </c>
      <c r="P1994" s="656" t="s">
        <v>1176</v>
      </c>
      <c r="Q1994" s="657">
        <v>0</v>
      </c>
      <c r="R1994" s="657">
        <v>0</v>
      </c>
      <c r="S1994" s="657">
        <v>39095</v>
      </c>
      <c r="T1994" s="657">
        <v>39095</v>
      </c>
      <c r="U1994" s="657">
        <v>4421</v>
      </c>
      <c r="V1994" s="655">
        <v>2021</v>
      </c>
      <c r="W1994" s="659"/>
      <c r="X1994" s="660">
        <f t="shared" si="95"/>
        <v>8.8430219407373905</v>
      </c>
      <c r="Y1994" s="661" t="str">
        <f t="shared" si="93"/>
        <v/>
      </c>
      <c r="Z1994" s="661" t="str">
        <f t="shared" si="94"/>
        <v/>
      </c>
    </row>
    <row r="1995" spans="1:26" s="128" customFormat="1">
      <c r="A1995" s="655">
        <v>63041</v>
      </c>
      <c r="B1995" s="656" t="s">
        <v>33</v>
      </c>
      <c r="C1995" s="655" t="s">
        <v>2793</v>
      </c>
      <c r="D1995" s="656" t="s">
        <v>3411</v>
      </c>
      <c r="E1995" s="656" t="s">
        <v>2210</v>
      </c>
      <c r="F1995" s="655">
        <v>61012</v>
      </c>
      <c r="G1995" s="656" t="s">
        <v>81</v>
      </c>
      <c r="H1995" s="656" t="s">
        <v>1183</v>
      </c>
      <c r="I1995" s="656" t="s">
        <v>58</v>
      </c>
      <c r="J1995" s="655">
        <v>22</v>
      </c>
      <c r="K1995" s="655">
        <v>2</v>
      </c>
      <c r="L1995" s="656" t="s">
        <v>52</v>
      </c>
      <c r="M1995" s="656" t="s">
        <v>448</v>
      </c>
      <c r="N1995" s="656" t="s">
        <v>449</v>
      </c>
      <c r="O1995" s="656" t="s">
        <v>449</v>
      </c>
      <c r="P1995" s="656" t="s">
        <v>1176</v>
      </c>
      <c r="Q1995" s="657">
        <v>0</v>
      </c>
      <c r="R1995" s="657">
        <v>0</v>
      </c>
      <c r="S1995" s="657">
        <v>185</v>
      </c>
      <c r="T1995" s="657">
        <v>185</v>
      </c>
      <c r="U1995" s="657">
        <v>21</v>
      </c>
      <c r="V1995" s="655">
        <v>2021</v>
      </c>
      <c r="W1995" s="659"/>
      <c r="X1995" s="660">
        <f t="shared" si="95"/>
        <v>8.8095238095238102</v>
      </c>
      <c r="Y1995" s="661" t="str">
        <f t="shared" si="93"/>
        <v/>
      </c>
      <c r="Z1995" s="661" t="str">
        <f t="shared" si="94"/>
        <v/>
      </c>
    </row>
    <row r="1996" spans="1:26" s="128" customFormat="1" ht="25">
      <c r="A1996" s="655">
        <v>63044</v>
      </c>
      <c r="B1996" s="656" t="s">
        <v>33</v>
      </c>
      <c r="C1996" s="655" t="s">
        <v>2793</v>
      </c>
      <c r="D1996" s="656" t="s">
        <v>3412</v>
      </c>
      <c r="E1996" s="656" t="s">
        <v>2210</v>
      </c>
      <c r="F1996" s="655">
        <v>61012</v>
      </c>
      <c r="G1996" s="656" t="s">
        <v>81</v>
      </c>
      <c r="H1996" s="656" t="s">
        <v>1183</v>
      </c>
      <c r="I1996" s="656" t="s">
        <v>58</v>
      </c>
      <c r="J1996" s="655">
        <v>22</v>
      </c>
      <c r="K1996" s="655">
        <v>2</v>
      </c>
      <c r="L1996" s="656" t="s">
        <v>52</v>
      </c>
      <c r="M1996" s="656" t="s">
        <v>1890</v>
      </c>
      <c r="N1996" s="656" t="s">
        <v>1052</v>
      </c>
      <c r="O1996" s="656" t="s">
        <v>82</v>
      </c>
      <c r="P1996" s="656" t="s">
        <v>2794</v>
      </c>
      <c r="Q1996" s="657">
        <v>0</v>
      </c>
      <c r="R1996" s="657">
        <v>0</v>
      </c>
      <c r="S1996" s="657">
        <v>0</v>
      </c>
      <c r="T1996" s="657">
        <v>0</v>
      </c>
      <c r="U1996" s="657">
        <v>0</v>
      </c>
      <c r="V1996" s="655">
        <v>2021</v>
      </c>
      <c r="W1996" s="659"/>
      <c r="X1996" s="660" t="str">
        <f t="shared" si="95"/>
        <v/>
      </c>
      <c r="Y1996" s="661" t="str">
        <f t="shared" si="93"/>
        <v/>
      </c>
      <c r="Z1996" s="661" t="str">
        <f t="shared" si="94"/>
        <v/>
      </c>
    </row>
    <row r="1997" spans="1:26" s="128" customFormat="1" ht="25">
      <c r="A1997" s="655">
        <v>63044</v>
      </c>
      <c r="B1997" s="656" t="s">
        <v>33</v>
      </c>
      <c r="C1997" s="655" t="s">
        <v>2793</v>
      </c>
      <c r="D1997" s="656" t="s">
        <v>3412</v>
      </c>
      <c r="E1997" s="656" t="s">
        <v>2210</v>
      </c>
      <c r="F1997" s="655">
        <v>61012</v>
      </c>
      <c r="G1997" s="656" t="s">
        <v>81</v>
      </c>
      <c r="H1997" s="656" t="s">
        <v>1183</v>
      </c>
      <c r="I1997" s="656" t="s">
        <v>58</v>
      </c>
      <c r="J1997" s="655">
        <v>22</v>
      </c>
      <c r="K1997" s="655">
        <v>2</v>
      </c>
      <c r="L1997" s="656" t="s">
        <v>52</v>
      </c>
      <c r="M1997" s="656" t="s">
        <v>448</v>
      </c>
      <c r="N1997" s="656" t="s">
        <v>449</v>
      </c>
      <c r="O1997" s="656" t="s">
        <v>449</v>
      </c>
      <c r="P1997" s="656" t="s">
        <v>1176</v>
      </c>
      <c r="Q1997" s="657">
        <v>0</v>
      </c>
      <c r="R1997" s="657">
        <v>0</v>
      </c>
      <c r="S1997" s="657">
        <v>2193</v>
      </c>
      <c r="T1997" s="657">
        <v>2193</v>
      </c>
      <c r="U1997" s="657">
        <v>248</v>
      </c>
      <c r="V1997" s="655">
        <v>2021</v>
      </c>
      <c r="W1997" s="659"/>
      <c r="X1997" s="660">
        <f t="shared" si="95"/>
        <v>8.8427419354838701</v>
      </c>
      <c r="Y1997" s="661" t="str">
        <f t="shared" si="93"/>
        <v/>
      </c>
      <c r="Z1997" s="661" t="str">
        <f t="shared" si="94"/>
        <v/>
      </c>
    </row>
    <row r="1998" spans="1:26" s="128" customFormat="1">
      <c r="A1998" s="655">
        <v>63047</v>
      </c>
      <c r="B1998" s="656" t="s">
        <v>33</v>
      </c>
      <c r="C1998" s="655" t="s">
        <v>2793</v>
      </c>
      <c r="D1998" s="656" t="s">
        <v>3413</v>
      </c>
      <c r="E1998" s="656" t="s">
        <v>2210</v>
      </c>
      <c r="F1998" s="655">
        <v>61012</v>
      </c>
      <c r="G1998" s="656" t="s">
        <v>81</v>
      </c>
      <c r="H1998" s="656" t="s">
        <v>1183</v>
      </c>
      <c r="I1998" s="656" t="s">
        <v>58</v>
      </c>
      <c r="J1998" s="655">
        <v>22</v>
      </c>
      <c r="K1998" s="655">
        <v>2</v>
      </c>
      <c r="L1998" s="656" t="s">
        <v>52</v>
      </c>
      <c r="M1998" s="656" t="s">
        <v>448</v>
      </c>
      <c r="N1998" s="656" t="s">
        <v>449</v>
      </c>
      <c r="O1998" s="656" t="s">
        <v>449</v>
      </c>
      <c r="P1998" s="656" t="s">
        <v>1176</v>
      </c>
      <c r="Q1998" s="657">
        <v>0</v>
      </c>
      <c r="R1998" s="657">
        <v>0</v>
      </c>
      <c r="S1998" s="657">
        <v>115</v>
      </c>
      <c r="T1998" s="657">
        <v>115</v>
      </c>
      <c r="U1998" s="657">
        <v>13</v>
      </c>
      <c r="V1998" s="655">
        <v>2021</v>
      </c>
      <c r="W1998" s="659"/>
      <c r="X1998" s="660">
        <f t="shared" si="95"/>
        <v>8.8461538461538467</v>
      </c>
      <c r="Y1998" s="661" t="str">
        <f t="shared" si="93"/>
        <v/>
      </c>
      <c r="Z1998" s="661" t="str">
        <f t="shared" si="94"/>
        <v/>
      </c>
    </row>
    <row r="1999" spans="1:26" s="128" customFormat="1">
      <c r="A1999" s="655">
        <v>63048</v>
      </c>
      <c r="B1999" s="656" t="s">
        <v>33</v>
      </c>
      <c r="C1999" s="655" t="s">
        <v>2793</v>
      </c>
      <c r="D1999" s="656" t="s">
        <v>3414</v>
      </c>
      <c r="E1999" s="656" t="s">
        <v>2210</v>
      </c>
      <c r="F1999" s="655">
        <v>61012</v>
      </c>
      <c r="G1999" s="656" t="s">
        <v>81</v>
      </c>
      <c r="H1999" s="656" t="s">
        <v>1183</v>
      </c>
      <c r="I1999" s="656" t="s">
        <v>58</v>
      </c>
      <c r="J1999" s="655">
        <v>22</v>
      </c>
      <c r="K1999" s="655">
        <v>2</v>
      </c>
      <c r="L1999" s="656" t="s">
        <v>52</v>
      </c>
      <c r="M1999" s="656" t="s">
        <v>448</v>
      </c>
      <c r="N1999" s="656" t="s">
        <v>449</v>
      </c>
      <c r="O1999" s="656" t="s">
        <v>449</v>
      </c>
      <c r="P1999" s="656" t="s">
        <v>1176</v>
      </c>
      <c r="Q1999" s="657">
        <v>0</v>
      </c>
      <c r="R1999" s="657">
        <v>0</v>
      </c>
      <c r="S1999" s="657">
        <v>2334</v>
      </c>
      <c r="T1999" s="657">
        <v>2334</v>
      </c>
      <c r="U1999" s="657">
        <v>264</v>
      </c>
      <c r="V1999" s="655">
        <v>2021</v>
      </c>
      <c r="W1999" s="659"/>
      <c r="X1999" s="660">
        <f t="shared" si="95"/>
        <v>8.8409090909090917</v>
      </c>
      <c r="Y1999" s="661" t="str">
        <f t="shared" si="93"/>
        <v/>
      </c>
      <c r="Z1999" s="661" t="str">
        <f t="shared" si="94"/>
        <v/>
      </c>
    </row>
    <row r="2000" spans="1:26" s="128" customFormat="1" hidden="1">
      <c r="A2000" s="655">
        <v>63051</v>
      </c>
      <c r="B2000" s="656" t="s">
        <v>33</v>
      </c>
      <c r="C2000" s="655" t="s">
        <v>2793</v>
      </c>
      <c r="D2000" s="656" t="s">
        <v>2965</v>
      </c>
      <c r="E2000" s="656" t="s">
        <v>2247</v>
      </c>
      <c r="F2000" s="655">
        <v>61227</v>
      </c>
      <c r="G2000" s="656" t="s">
        <v>57</v>
      </c>
      <c r="H2000" s="656" t="s">
        <v>1182</v>
      </c>
      <c r="I2000" s="656" t="s">
        <v>58</v>
      </c>
      <c r="J2000" s="655">
        <v>22</v>
      </c>
      <c r="K2000" s="655">
        <v>2</v>
      </c>
      <c r="L2000" s="656" t="s">
        <v>52</v>
      </c>
      <c r="M2000" s="656" t="s">
        <v>448</v>
      </c>
      <c r="N2000" s="656" t="s">
        <v>449</v>
      </c>
      <c r="O2000" s="656" t="s">
        <v>449</v>
      </c>
      <c r="P2000" s="656" t="s">
        <v>1176</v>
      </c>
      <c r="Q2000" s="657">
        <v>0</v>
      </c>
      <c r="R2000" s="657">
        <v>0</v>
      </c>
      <c r="S2000" s="657">
        <v>25697</v>
      </c>
      <c r="T2000" s="657">
        <v>25697</v>
      </c>
      <c r="U2000" s="657">
        <v>2906</v>
      </c>
      <c r="V2000" s="655">
        <v>2021</v>
      </c>
      <c r="W2000" s="659"/>
      <c r="X2000" s="660">
        <f t="shared" si="95"/>
        <v>8.8427391603578798</v>
      </c>
      <c r="Y2000" s="661" t="str">
        <f t="shared" si="93"/>
        <v/>
      </c>
      <c r="Z2000" s="661" t="str">
        <f t="shared" si="94"/>
        <v/>
      </c>
    </row>
    <row r="2001" spans="1:26" s="128" customFormat="1" hidden="1">
      <c r="A2001" s="655">
        <v>63052</v>
      </c>
      <c r="B2001" s="656" t="s">
        <v>33</v>
      </c>
      <c r="C2001" s="655" t="s">
        <v>2793</v>
      </c>
      <c r="D2001" s="656" t="s">
        <v>2966</v>
      </c>
      <c r="E2001" s="656" t="s">
        <v>2247</v>
      </c>
      <c r="F2001" s="655">
        <v>61227</v>
      </c>
      <c r="G2001" s="656" t="s">
        <v>57</v>
      </c>
      <c r="H2001" s="656" t="s">
        <v>1182</v>
      </c>
      <c r="I2001" s="656" t="s">
        <v>58</v>
      </c>
      <c r="J2001" s="655">
        <v>22</v>
      </c>
      <c r="K2001" s="655">
        <v>2</v>
      </c>
      <c r="L2001" s="656" t="s">
        <v>52</v>
      </c>
      <c r="M2001" s="656" t="s">
        <v>448</v>
      </c>
      <c r="N2001" s="656" t="s">
        <v>449</v>
      </c>
      <c r="O2001" s="656" t="s">
        <v>449</v>
      </c>
      <c r="P2001" s="656" t="s">
        <v>1176</v>
      </c>
      <c r="Q2001" s="657">
        <v>0</v>
      </c>
      <c r="R2001" s="657">
        <v>0</v>
      </c>
      <c r="S2001" s="657">
        <v>29801</v>
      </c>
      <c r="T2001" s="657">
        <v>29801</v>
      </c>
      <c r="U2001" s="657">
        <v>3370</v>
      </c>
      <c r="V2001" s="655">
        <v>2021</v>
      </c>
      <c r="W2001" s="659"/>
      <c r="X2001" s="660">
        <f t="shared" si="95"/>
        <v>8.8430267062314538</v>
      </c>
      <c r="Y2001" s="661" t="str">
        <f t="shared" si="93"/>
        <v/>
      </c>
      <c r="Z2001" s="661" t="str">
        <f t="shared" si="94"/>
        <v/>
      </c>
    </row>
    <row r="2002" spans="1:26" s="128" customFormat="1" hidden="1">
      <c r="A2002" s="655">
        <v>63055</v>
      </c>
      <c r="B2002" s="656" t="s">
        <v>33</v>
      </c>
      <c r="C2002" s="655" t="s">
        <v>2793</v>
      </c>
      <c r="D2002" s="656" t="s">
        <v>2967</v>
      </c>
      <c r="E2002" s="656" t="s">
        <v>2247</v>
      </c>
      <c r="F2002" s="655">
        <v>61227</v>
      </c>
      <c r="G2002" s="656" t="s">
        <v>57</v>
      </c>
      <c r="H2002" s="656" t="s">
        <v>1182</v>
      </c>
      <c r="I2002" s="656" t="s">
        <v>58</v>
      </c>
      <c r="J2002" s="655">
        <v>22</v>
      </c>
      <c r="K2002" s="655">
        <v>2</v>
      </c>
      <c r="L2002" s="656" t="s">
        <v>52</v>
      </c>
      <c r="M2002" s="656" t="s">
        <v>448</v>
      </c>
      <c r="N2002" s="656" t="s">
        <v>449</v>
      </c>
      <c r="O2002" s="656" t="s">
        <v>449</v>
      </c>
      <c r="P2002" s="656" t="s">
        <v>1176</v>
      </c>
      <c r="Q2002" s="657">
        <v>0</v>
      </c>
      <c r="R2002" s="657">
        <v>0</v>
      </c>
      <c r="S2002" s="657">
        <v>26919</v>
      </c>
      <c r="T2002" s="657">
        <v>26919</v>
      </c>
      <c r="U2002" s="657">
        <v>3044</v>
      </c>
      <c r="V2002" s="655">
        <v>2021</v>
      </c>
      <c r="W2002" s="659"/>
      <c r="X2002" s="660">
        <f t="shared" si="95"/>
        <v>8.8432982917214193</v>
      </c>
      <c r="Y2002" s="661" t="str">
        <f t="shared" si="93"/>
        <v/>
      </c>
      <c r="Z2002" s="661" t="str">
        <f t="shared" si="94"/>
        <v/>
      </c>
    </row>
    <row r="2003" spans="1:26" s="128" customFormat="1" hidden="1">
      <c r="A2003" s="655">
        <v>63056</v>
      </c>
      <c r="B2003" s="656" t="s">
        <v>33</v>
      </c>
      <c r="C2003" s="655" t="s">
        <v>2793</v>
      </c>
      <c r="D2003" s="656" t="s">
        <v>2968</v>
      </c>
      <c r="E2003" s="656" t="s">
        <v>2247</v>
      </c>
      <c r="F2003" s="655">
        <v>61227</v>
      </c>
      <c r="G2003" s="656" t="s">
        <v>57</v>
      </c>
      <c r="H2003" s="656" t="s">
        <v>1182</v>
      </c>
      <c r="I2003" s="656" t="s">
        <v>58</v>
      </c>
      <c r="J2003" s="655">
        <v>22</v>
      </c>
      <c r="K2003" s="655">
        <v>2</v>
      </c>
      <c r="L2003" s="656" t="s">
        <v>52</v>
      </c>
      <c r="M2003" s="656" t="s">
        <v>448</v>
      </c>
      <c r="N2003" s="656" t="s">
        <v>449</v>
      </c>
      <c r="O2003" s="656" t="s">
        <v>449</v>
      </c>
      <c r="P2003" s="656" t="s">
        <v>1176</v>
      </c>
      <c r="Q2003" s="657">
        <v>0</v>
      </c>
      <c r="R2003" s="657">
        <v>0</v>
      </c>
      <c r="S2003" s="657">
        <v>29651</v>
      </c>
      <c r="T2003" s="657">
        <v>29651</v>
      </c>
      <c r="U2003" s="657">
        <v>3353</v>
      </c>
      <c r="V2003" s="655">
        <v>2021</v>
      </c>
      <c r="W2003" s="659"/>
      <c r="X2003" s="660">
        <f t="shared" si="95"/>
        <v>8.8431255592007165</v>
      </c>
      <c r="Y2003" s="661" t="str">
        <f t="shared" si="93"/>
        <v/>
      </c>
      <c r="Z2003" s="661" t="str">
        <f t="shared" si="94"/>
        <v/>
      </c>
    </row>
    <row r="2004" spans="1:26" s="128" customFormat="1" hidden="1">
      <c r="A2004" s="655">
        <v>63057</v>
      </c>
      <c r="B2004" s="656" t="s">
        <v>33</v>
      </c>
      <c r="C2004" s="655" t="s">
        <v>2793</v>
      </c>
      <c r="D2004" s="656" t="s">
        <v>2969</v>
      </c>
      <c r="E2004" s="656" t="s">
        <v>2247</v>
      </c>
      <c r="F2004" s="655">
        <v>61227</v>
      </c>
      <c r="G2004" s="656" t="s">
        <v>57</v>
      </c>
      <c r="H2004" s="656" t="s">
        <v>1182</v>
      </c>
      <c r="I2004" s="656" t="s">
        <v>58</v>
      </c>
      <c r="J2004" s="655">
        <v>22</v>
      </c>
      <c r="K2004" s="655">
        <v>2</v>
      </c>
      <c r="L2004" s="656" t="s">
        <v>52</v>
      </c>
      <c r="M2004" s="656" t="s">
        <v>448</v>
      </c>
      <c r="N2004" s="656" t="s">
        <v>449</v>
      </c>
      <c r="O2004" s="656" t="s">
        <v>449</v>
      </c>
      <c r="P2004" s="656" t="s">
        <v>1176</v>
      </c>
      <c r="Q2004" s="657">
        <v>0</v>
      </c>
      <c r="R2004" s="657">
        <v>0</v>
      </c>
      <c r="S2004" s="657">
        <v>31040</v>
      </c>
      <c r="T2004" s="657">
        <v>31040</v>
      </c>
      <c r="U2004" s="657">
        <v>3510</v>
      </c>
      <c r="V2004" s="655">
        <v>2021</v>
      </c>
      <c r="W2004" s="659"/>
      <c r="X2004" s="660">
        <f t="shared" si="95"/>
        <v>8.8433048433048427</v>
      </c>
      <c r="Y2004" s="661" t="str">
        <f t="shared" si="93"/>
        <v/>
      </c>
      <c r="Z2004" s="661" t="str">
        <f t="shared" si="94"/>
        <v/>
      </c>
    </row>
    <row r="2005" spans="1:26" s="128" customFormat="1" hidden="1">
      <c r="A2005" s="655">
        <v>63058</v>
      </c>
      <c r="B2005" s="656" t="s">
        <v>33</v>
      </c>
      <c r="C2005" s="655" t="s">
        <v>2793</v>
      </c>
      <c r="D2005" s="656" t="s">
        <v>2970</v>
      </c>
      <c r="E2005" s="656" t="s">
        <v>2247</v>
      </c>
      <c r="F2005" s="655">
        <v>61227</v>
      </c>
      <c r="G2005" s="656" t="s">
        <v>57</v>
      </c>
      <c r="H2005" s="656" t="s">
        <v>1182</v>
      </c>
      <c r="I2005" s="656" t="s">
        <v>58</v>
      </c>
      <c r="J2005" s="655">
        <v>22</v>
      </c>
      <c r="K2005" s="655">
        <v>2</v>
      </c>
      <c r="L2005" s="656" t="s">
        <v>52</v>
      </c>
      <c r="M2005" s="656" t="s">
        <v>448</v>
      </c>
      <c r="N2005" s="656" t="s">
        <v>449</v>
      </c>
      <c r="O2005" s="656" t="s">
        <v>449</v>
      </c>
      <c r="P2005" s="656" t="s">
        <v>1176</v>
      </c>
      <c r="Q2005" s="657">
        <v>0</v>
      </c>
      <c r="R2005" s="657">
        <v>0</v>
      </c>
      <c r="S2005" s="657">
        <v>29393</v>
      </c>
      <c r="T2005" s="657">
        <v>29393</v>
      </c>
      <c r="U2005" s="657">
        <v>3324</v>
      </c>
      <c r="V2005" s="655">
        <v>2021</v>
      </c>
      <c r="W2005" s="659"/>
      <c r="X2005" s="660">
        <f t="shared" si="95"/>
        <v>8.8426594464500603</v>
      </c>
      <c r="Y2005" s="661" t="str">
        <f t="shared" si="93"/>
        <v/>
      </c>
      <c r="Z2005" s="661" t="str">
        <f t="shared" si="94"/>
        <v/>
      </c>
    </row>
    <row r="2006" spans="1:26" s="128" customFormat="1" hidden="1">
      <c r="A2006" s="655">
        <v>63059</v>
      </c>
      <c r="B2006" s="656" t="s">
        <v>33</v>
      </c>
      <c r="C2006" s="655" t="s">
        <v>2793</v>
      </c>
      <c r="D2006" s="656" t="s">
        <v>2971</v>
      </c>
      <c r="E2006" s="656" t="s">
        <v>2247</v>
      </c>
      <c r="F2006" s="655">
        <v>61227</v>
      </c>
      <c r="G2006" s="656" t="s">
        <v>57</v>
      </c>
      <c r="H2006" s="656" t="s">
        <v>1182</v>
      </c>
      <c r="I2006" s="656" t="s">
        <v>58</v>
      </c>
      <c r="J2006" s="655">
        <v>22</v>
      </c>
      <c r="K2006" s="655">
        <v>2</v>
      </c>
      <c r="L2006" s="656" t="s">
        <v>52</v>
      </c>
      <c r="M2006" s="656" t="s">
        <v>448</v>
      </c>
      <c r="N2006" s="656" t="s">
        <v>449</v>
      </c>
      <c r="O2006" s="656" t="s">
        <v>449</v>
      </c>
      <c r="P2006" s="656" t="s">
        <v>1176</v>
      </c>
      <c r="Q2006" s="657">
        <v>0</v>
      </c>
      <c r="R2006" s="657">
        <v>0</v>
      </c>
      <c r="S2006" s="657">
        <v>29615</v>
      </c>
      <c r="T2006" s="657">
        <v>29615</v>
      </c>
      <c r="U2006" s="657">
        <v>3349</v>
      </c>
      <c r="V2006" s="655">
        <v>2021</v>
      </c>
      <c r="W2006" s="659"/>
      <c r="X2006" s="660">
        <f t="shared" si="95"/>
        <v>8.8429381905046274</v>
      </c>
      <c r="Y2006" s="661" t="str">
        <f t="shared" si="93"/>
        <v/>
      </c>
      <c r="Z2006" s="661" t="str">
        <f t="shared" si="94"/>
        <v/>
      </c>
    </row>
    <row r="2007" spans="1:26" s="128" customFormat="1" hidden="1">
      <c r="A2007" s="655">
        <v>63060</v>
      </c>
      <c r="B2007" s="656" t="s">
        <v>33</v>
      </c>
      <c r="C2007" s="655" t="s">
        <v>2793</v>
      </c>
      <c r="D2007" s="656" t="s">
        <v>2972</v>
      </c>
      <c r="E2007" s="656" t="s">
        <v>2247</v>
      </c>
      <c r="F2007" s="655">
        <v>61227</v>
      </c>
      <c r="G2007" s="656" t="s">
        <v>57</v>
      </c>
      <c r="H2007" s="656" t="s">
        <v>1182</v>
      </c>
      <c r="I2007" s="656" t="s">
        <v>58</v>
      </c>
      <c r="J2007" s="655">
        <v>22</v>
      </c>
      <c r="K2007" s="655">
        <v>2</v>
      </c>
      <c r="L2007" s="656" t="s">
        <v>52</v>
      </c>
      <c r="M2007" s="656" t="s">
        <v>448</v>
      </c>
      <c r="N2007" s="656" t="s">
        <v>449</v>
      </c>
      <c r="O2007" s="656" t="s">
        <v>449</v>
      </c>
      <c r="P2007" s="656" t="s">
        <v>1176</v>
      </c>
      <c r="Q2007" s="657">
        <v>0</v>
      </c>
      <c r="R2007" s="657">
        <v>0</v>
      </c>
      <c r="S2007" s="657">
        <v>29473</v>
      </c>
      <c r="T2007" s="657">
        <v>29473</v>
      </c>
      <c r="U2007" s="657">
        <v>3333</v>
      </c>
      <c r="V2007" s="655">
        <v>2021</v>
      </c>
      <c r="W2007" s="659"/>
      <c r="X2007" s="660">
        <f t="shared" si="95"/>
        <v>8.8427842784278425</v>
      </c>
      <c r="Y2007" s="661" t="str">
        <f t="shared" si="93"/>
        <v/>
      </c>
      <c r="Z2007" s="661" t="str">
        <f t="shared" si="94"/>
        <v/>
      </c>
    </row>
    <row r="2008" spans="1:26" s="128" customFormat="1" hidden="1">
      <c r="A2008" s="655">
        <v>63079</v>
      </c>
      <c r="B2008" s="656" t="s">
        <v>33</v>
      </c>
      <c r="C2008" s="655" t="s">
        <v>2793</v>
      </c>
      <c r="D2008" s="656" t="s">
        <v>2973</v>
      </c>
      <c r="E2008" s="656" t="s">
        <v>2247</v>
      </c>
      <c r="F2008" s="655">
        <v>61227</v>
      </c>
      <c r="G2008" s="656" t="s">
        <v>57</v>
      </c>
      <c r="H2008" s="656" t="s">
        <v>1182</v>
      </c>
      <c r="I2008" s="656" t="s">
        <v>58</v>
      </c>
      <c r="J2008" s="655">
        <v>22</v>
      </c>
      <c r="K2008" s="655">
        <v>2</v>
      </c>
      <c r="L2008" s="656" t="s">
        <v>52</v>
      </c>
      <c r="M2008" s="656" t="s">
        <v>448</v>
      </c>
      <c r="N2008" s="656" t="s">
        <v>449</v>
      </c>
      <c r="O2008" s="656" t="s">
        <v>449</v>
      </c>
      <c r="P2008" s="656" t="s">
        <v>1176</v>
      </c>
      <c r="Q2008" s="657">
        <v>0</v>
      </c>
      <c r="R2008" s="657">
        <v>0</v>
      </c>
      <c r="S2008" s="657">
        <v>22974</v>
      </c>
      <c r="T2008" s="657">
        <v>22974</v>
      </c>
      <c r="U2008" s="657">
        <v>2598</v>
      </c>
      <c r="V2008" s="655">
        <v>2021</v>
      </c>
      <c r="W2008" s="659"/>
      <c r="X2008" s="660">
        <f t="shared" si="95"/>
        <v>8.8429561200923796</v>
      </c>
      <c r="Y2008" s="661" t="str">
        <f t="shared" si="93"/>
        <v/>
      </c>
      <c r="Z2008" s="661" t="str">
        <f t="shared" si="94"/>
        <v/>
      </c>
    </row>
    <row r="2009" spans="1:26" s="128" customFormat="1" hidden="1">
      <c r="A2009" s="655">
        <v>63086</v>
      </c>
      <c r="B2009" s="656" t="s">
        <v>33</v>
      </c>
      <c r="C2009" s="655" t="s">
        <v>2793</v>
      </c>
      <c r="D2009" s="656" t="s">
        <v>2974</v>
      </c>
      <c r="E2009" s="656" t="s">
        <v>2247</v>
      </c>
      <c r="F2009" s="655">
        <v>61227</v>
      </c>
      <c r="G2009" s="656" t="s">
        <v>57</v>
      </c>
      <c r="H2009" s="656" t="s">
        <v>1182</v>
      </c>
      <c r="I2009" s="656" t="s">
        <v>58</v>
      </c>
      <c r="J2009" s="655">
        <v>22</v>
      </c>
      <c r="K2009" s="655">
        <v>2</v>
      </c>
      <c r="L2009" s="656" t="s">
        <v>52</v>
      </c>
      <c r="M2009" s="656" t="s">
        <v>448</v>
      </c>
      <c r="N2009" s="656" t="s">
        <v>449</v>
      </c>
      <c r="O2009" s="656" t="s">
        <v>449</v>
      </c>
      <c r="P2009" s="656" t="s">
        <v>1176</v>
      </c>
      <c r="Q2009" s="657">
        <v>0</v>
      </c>
      <c r="R2009" s="657">
        <v>0</v>
      </c>
      <c r="S2009" s="657">
        <v>30367</v>
      </c>
      <c r="T2009" s="657">
        <v>30367</v>
      </c>
      <c r="U2009" s="657">
        <v>3434</v>
      </c>
      <c r="V2009" s="655">
        <v>2021</v>
      </c>
      <c r="W2009" s="659"/>
      <c r="X2009" s="660">
        <f t="shared" si="95"/>
        <v>8.843040186371578</v>
      </c>
      <c r="Y2009" s="661" t="str">
        <f t="shared" si="93"/>
        <v/>
      </c>
      <c r="Z2009" s="661" t="str">
        <f t="shared" si="94"/>
        <v/>
      </c>
    </row>
    <row r="2010" spans="1:26" s="128" customFormat="1" hidden="1">
      <c r="A2010" s="655">
        <v>63106</v>
      </c>
      <c r="B2010" s="656" t="s">
        <v>33</v>
      </c>
      <c r="C2010" s="655" t="s">
        <v>2793</v>
      </c>
      <c r="D2010" s="656" t="s">
        <v>2975</v>
      </c>
      <c r="E2010" s="656" t="s">
        <v>2247</v>
      </c>
      <c r="F2010" s="655">
        <v>61227</v>
      </c>
      <c r="G2010" s="656" t="s">
        <v>57</v>
      </c>
      <c r="H2010" s="656" t="s">
        <v>1182</v>
      </c>
      <c r="I2010" s="656" t="s">
        <v>58</v>
      </c>
      <c r="J2010" s="655">
        <v>22</v>
      </c>
      <c r="K2010" s="655">
        <v>2</v>
      </c>
      <c r="L2010" s="656" t="s">
        <v>52</v>
      </c>
      <c r="M2010" s="656" t="s">
        <v>448</v>
      </c>
      <c r="N2010" s="656" t="s">
        <v>449</v>
      </c>
      <c r="O2010" s="656" t="s">
        <v>449</v>
      </c>
      <c r="P2010" s="656" t="s">
        <v>1176</v>
      </c>
      <c r="Q2010" s="657">
        <v>0</v>
      </c>
      <c r="R2010" s="657">
        <v>0</v>
      </c>
      <c r="S2010" s="657">
        <v>31154</v>
      </c>
      <c r="T2010" s="657">
        <v>31154</v>
      </c>
      <c r="U2010" s="657">
        <v>3523</v>
      </c>
      <c r="V2010" s="655">
        <v>2021</v>
      </c>
      <c r="W2010" s="659"/>
      <c r="X2010" s="660">
        <f t="shared" si="95"/>
        <v>8.84303150723815</v>
      </c>
      <c r="Y2010" s="661" t="str">
        <f t="shared" si="93"/>
        <v/>
      </c>
      <c r="Z2010" s="661" t="str">
        <f t="shared" si="94"/>
        <v/>
      </c>
    </row>
    <row r="2011" spans="1:26" s="128" customFormat="1" hidden="1">
      <c r="A2011" s="655">
        <v>63107</v>
      </c>
      <c r="B2011" s="656" t="s">
        <v>33</v>
      </c>
      <c r="C2011" s="655" t="s">
        <v>2793</v>
      </c>
      <c r="D2011" s="656" t="s">
        <v>3173</v>
      </c>
      <c r="E2011" s="656" t="s">
        <v>2247</v>
      </c>
      <c r="F2011" s="655">
        <v>61227</v>
      </c>
      <c r="G2011" s="656" t="s">
        <v>57</v>
      </c>
      <c r="H2011" s="656" t="s">
        <v>1182</v>
      </c>
      <c r="I2011" s="656" t="s">
        <v>58</v>
      </c>
      <c r="J2011" s="655">
        <v>22</v>
      </c>
      <c r="K2011" s="655">
        <v>2</v>
      </c>
      <c r="L2011" s="656" t="s">
        <v>52</v>
      </c>
      <c r="M2011" s="656" t="s">
        <v>448</v>
      </c>
      <c r="N2011" s="656" t="s">
        <v>449</v>
      </c>
      <c r="O2011" s="656" t="s">
        <v>449</v>
      </c>
      <c r="P2011" s="656" t="s">
        <v>1176</v>
      </c>
      <c r="Q2011" s="657">
        <v>0</v>
      </c>
      <c r="R2011" s="657">
        <v>0</v>
      </c>
      <c r="S2011" s="657">
        <v>24619</v>
      </c>
      <c r="T2011" s="657">
        <v>24619</v>
      </c>
      <c r="U2011" s="657">
        <v>2784</v>
      </c>
      <c r="V2011" s="655">
        <v>2021</v>
      </c>
      <c r="W2011" s="659"/>
      <c r="X2011" s="660">
        <f t="shared" si="95"/>
        <v>8.8430316091954015</v>
      </c>
      <c r="Y2011" s="661" t="str">
        <f t="shared" si="93"/>
        <v/>
      </c>
      <c r="Z2011" s="661" t="str">
        <f t="shared" si="94"/>
        <v/>
      </c>
    </row>
    <row r="2012" spans="1:26" s="128" customFormat="1" hidden="1">
      <c r="A2012" s="655">
        <v>63108</v>
      </c>
      <c r="B2012" s="656" t="s">
        <v>33</v>
      </c>
      <c r="C2012" s="655" t="s">
        <v>2793</v>
      </c>
      <c r="D2012" s="656" t="s">
        <v>2976</v>
      </c>
      <c r="E2012" s="656" t="s">
        <v>2247</v>
      </c>
      <c r="F2012" s="655">
        <v>61227</v>
      </c>
      <c r="G2012" s="656" t="s">
        <v>57</v>
      </c>
      <c r="H2012" s="656" t="s">
        <v>1182</v>
      </c>
      <c r="I2012" s="656" t="s">
        <v>58</v>
      </c>
      <c r="J2012" s="655">
        <v>22</v>
      </c>
      <c r="K2012" s="655">
        <v>2</v>
      </c>
      <c r="L2012" s="656" t="s">
        <v>52</v>
      </c>
      <c r="M2012" s="656" t="s">
        <v>448</v>
      </c>
      <c r="N2012" s="656" t="s">
        <v>449</v>
      </c>
      <c r="O2012" s="656" t="s">
        <v>449</v>
      </c>
      <c r="P2012" s="656" t="s">
        <v>1176</v>
      </c>
      <c r="Q2012" s="657">
        <v>0</v>
      </c>
      <c r="R2012" s="657">
        <v>0</v>
      </c>
      <c r="S2012" s="657">
        <v>29846</v>
      </c>
      <c r="T2012" s="657">
        <v>29846</v>
      </c>
      <c r="U2012" s="657">
        <v>3375</v>
      </c>
      <c r="V2012" s="655">
        <v>2021</v>
      </c>
      <c r="W2012" s="659"/>
      <c r="X2012" s="660">
        <f t="shared" si="95"/>
        <v>8.8432592592592592</v>
      </c>
      <c r="Y2012" s="661" t="str">
        <f t="shared" si="93"/>
        <v/>
      </c>
      <c r="Z2012" s="661" t="str">
        <f t="shared" si="94"/>
        <v/>
      </c>
    </row>
    <row r="2013" spans="1:26" s="128" customFormat="1" hidden="1">
      <c r="A2013" s="655">
        <v>63112</v>
      </c>
      <c r="B2013" s="656" t="s">
        <v>33</v>
      </c>
      <c r="C2013" s="655" t="s">
        <v>2793</v>
      </c>
      <c r="D2013" s="656" t="s">
        <v>2977</v>
      </c>
      <c r="E2013" s="656" t="s">
        <v>2247</v>
      </c>
      <c r="F2013" s="655">
        <v>61227</v>
      </c>
      <c r="G2013" s="656" t="s">
        <v>57</v>
      </c>
      <c r="H2013" s="656" t="s">
        <v>1182</v>
      </c>
      <c r="I2013" s="656" t="s">
        <v>58</v>
      </c>
      <c r="J2013" s="655">
        <v>22</v>
      </c>
      <c r="K2013" s="655">
        <v>2</v>
      </c>
      <c r="L2013" s="656" t="s">
        <v>52</v>
      </c>
      <c r="M2013" s="656" t="s">
        <v>448</v>
      </c>
      <c r="N2013" s="656" t="s">
        <v>449</v>
      </c>
      <c r="O2013" s="656" t="s">
        <v>449</v>
      </c>
      <c r="P2013" s="656" t="s">
        <v>1176</v>
      </c>
      <c r="Q2013" s="657">
        <v>0</v>
      </c>
      <c r="R2013" s="657">
        <v>0</v>
      </c>
      <c r="S2013" s="657">
        <v>30667</v>
      </c>
      <c r="T2013" s="657">
        <v>30667</v>
      </c>
      <c r="U2013" s="657">
        <v>3468</v>
      </c>
      <c r="V2013" s="655">
        <v>2021</v>
      </c>
      <c r="W2013" s="659"/>
      <c r="X2013" s="660">
        <f t="shared" si="95"/>
        <v>8.8428489042675888</v>
      </c>
      <c r="Y2013" s="661" t="str">
        <f t="shared" si="93"/>
        <v/>
      </c>
      <c r="Z2013" s="661" t="str">
        <f t="shared" si="94"/>
        <v/>
      </c>
    </row>
    <row r="2014" spans="1:26" s="128" customFormat="1" ht="25" hidden="1">
      <c r="A2014" s="655">
        <v>63129</v>
      </c>
      <c r="B2014" s="656" t="s">
        <v>33</v>
      </c>
      <c r="C2014" s="655" t="s">
        <v>2793</v>
      </c>
      <c r="D2014" s="656" t="s">
        <v>3174</v>
      </c>
      <c r="E2014" s="656" t="s">
        <v>2210</v>
      </c>
      <c r="F2014" s="655">
        <v>61012</v>
      </c>
      <c r="G2014" s="656" t="s">
        <v>57</v>
      </c>
      <c r="H2014" s="656" t="s">
        <v>1182</v>
      </c>
      <c r="I2014" s="656" t="s">
        <v>58</v>
      </c>
      <c r="J2014" s="655">
        <v>22</v>
      </c>
      <c r="K2014" s="655">
        <v>2</v>
      </c>
      <c r="L2014" s="656" t="s">
        <v>52</v>
      </c>
      <c r="M2014" s="656" t="s">
        <v>448</v>
      </c>
      <c r="N2014" s="656" t="s">
        <v>449</v>
      </c>
      <c r="O2014" s="656" t="s">
        <v>449</v>
      </c>
      <c r="P2014" s="656" t="s">
        <v>1176</v>
      </c>
      <c r="Q2014" s="657">
        <v>0</v>
      </c>
      <c r="R2014" s="657">
        <v>0</v>
      </c>
      <c r="S2014" s="657">
        <v>72503</v>
      </c>
      <c r="T2014" s="657">
        <v>72503</v>
      </c>
      <c r="U2014" s="657">
        <v>8199</v>
      </c>
      <c r="V2014" s="655">
        <v>2021</v>
      </c>
      <c r="W2014" s="659"/>
      <c r="X2014" s="660">
        <f t="shared" si="95"/>
        <v>8.8429076716672768</v>
      </c>
      <c r="Y2014" s="661" t="str">
        <f t="shared" si="93"/>
        <v/>
      </c>
      <c r="Z2014" s="661" t="str">
        <f t="shared" si="94"/>
        <v/>
      </c>
    </row>
    <row r="2015" spans="1:26" s="128" customFormat="1" ht="25" hidden="1">
      <c r="A2015" s="655">
        <v>63130</v>
      </c>
      <c r="B2015" s="656" t="s">
        <v>33</v>
      </c>
      <c r="C2015" s="655" t="s">
        <v>2793</v>
      </c>
      <c r="D2015" s="656" t="s">
        <v>3175</v>
      </c>
      <c r="E2015" s="656" t="s">
        <v>2210</v>
      </c>
      <c r="F2015" s="655">
        <v>61012</v>
      </c>
      <c r="G2015" s="656" t="s">
        <v>57</v>
      </c>
      <c r="H2015" s="656" t="s">
        <v>1182</v>
      </c>
      <c r="I2015" s="656" t="s">
        <v>58</v>
      </c>
      <c r="J2015" s="655">
        <v>22</v>
      </c>
      <c r="K2015" s="655">
        <v>2</v>
      </c>
      <c r="L2015" s="656" t="s">
        <v>52</v>
      </c>
      <c r="M2015" s="656" t="s">
        <v>448</v>
      </c>
      <c r="N2015" s="656" t="s">
        <v>449</v>
      </c>
      <c r="O2015" s="656" t="s">
        <v>449</v>
      </c>
      <c r="P2015" s="656" t="s">
        <v>1176</v>
      </c>
      <c r="Q2015" s="657">
        <v>0</v>
      </c>
      <c r="R2015" s="657">
        <v>0</v>
      </c>
      <c r="S2015" s="657">
        <v>50503</v>
      </c>
      <c r="T2015" s="657">
        <v>50503</v>
      </c>
      <c r="U2015" s="657">
        <v>5711</v>
      </c>
      <c r="V2015" s="655">
        <v>2021</v>
      </c>
      <c r="W2015" s="659"/>
      <c r="X2015" s="660">
        <f t="shared" si="95"/>
        <v>8.8431097881281744</v>
      </c>
      <c r="Y2015" s="661" t="str">
        <f t="shared" si="93"/>
        <v/>
      </c>
      <c r="Z2015" s="661" t="str">
        <f t="shared" si="94"/>
        <v/>
      </c>
    </row>
    <row r="2016" spans="1:26" s="128" customFormat="1">
      <c r="A2016" s="655">
        <v>63131</v>
      </c>
      <c r="B2016" s="656" t="s">
        <v>33</v>
      </c>
      <c r="C2016" s="655" t="s">
        <v>2793</v>
      </c>
      <c r="D2016" s="656" t="s">
        <v>2978</v>
      </c>
      <c r="E2016" s="656" t="s">
        <v>2210</v>
      </c>
      <c r="F2016" s="655">
        <v>61012</v>
      </c>
      <c r="G2016" s="656" t="s">
        <v>81</v>
      </c>
      <c r="H2016" s="656" t="s">
        <v>1183</v>
      </c>
      <c r="I2016" s="656" t="s">
        <v>58</v>
      </c>
      <c r="J2016" s="655">
        <v>22</v>
      </c>
      <c r="K2016" s="655">
        <v>2</v>
      </c>
      <c r="L2016" s="656" t="s">
        <v>52</v>
      </c>
      <c r="M2016" s="656" t="s">
        <v>448</v>
      </c>
      <c r="N2016" s="656" t="s">
        <v>449</v>
      </c>
      <c r="O2016" s="656" t="s">
        <v>449</v>
      </c>
      <c r="P2016" s="656" t="s">
        <v>1176</v>
      </c>
      <c r="Q2016" s="657">
        <v>0</v>
      </c>
      <c r="R2016" s="657">
        <v>0</v>
      </c>
      <c r="S2016" s="657">
        <v>70275</v>
      </c>
      <c r="T2016" s="657">
        <v>70275</v>
      </c>
      <c r="U2016" s="657">
        <v>7947</v>
      </c>
      <c r="V2016" s="655">
        <v>2021</v>
      </c>
      <c r="W2016" s="659"/>
      <c r="X2016" s="660">
        <f t="shared" si="95"/>
        <v>8.8429596073990187</v>
      </c>
      <c r="Y2016" s="661" t="str">
        <f t="shared" si="93"/>
        <v/>
      </c>
      <c r="Z2016" s="661" t="str">
        <f t="shared" si="94"/>
        <v/>
      </c>
    </row>
    <row r="2017" spans="1:26" s="128" customFormat="1" ht="25" hidden="1">
      <c r="A2017" s="655">
        <v>63132</v>
      </c>
      <c r="B2017" s="656" t="s">
        <v>33</v>
      </c>
      <c r="C2017" s="655" t="s">
        <v>2793</v>
      </c>
      <c r="D2017" s="656" t="s">
        <v>3176</v>
      </c>
      <c r="E2017" s="656" t="s">
        <v>3177</v>
      </c>
      <c r="F2017" s="655">
        <v>61219</v>
      </c>
      <c r="G2017" s="656" t="s">
        <v>90</v>
      </c>
      <c r="H2017" s="656" t="s">
        <v>1183</v>
      </c>
      <c r="I2017" s="656" t="s">
        <v>58</v>
      </c>
      <c r="J2017" s="655">
        <v>22</v>
      </c>
      <c r="K2017" s="655">
        <v>2</v>
      </c>
      <c r="L2017" s="656" t="s">
        <v>52</v>
      </c>
      <c r="M2017" s="656" t="s">
        <v>71</v>
      </c>
      <c r="N2017" s="656" t="s">
        <v>72</v>
      </c>
      <c r="O2017" s="656" t="s">
        <v>72</v>
      </c>
      <c r="P2017" s="656" t="s">
        <v>1176</v>
      </c>
      <c r="Q2017" s="657">
        <v>0</v>
      </c>
      <c r="R2017" s="657">
        <v>0</v>
      </c>
      <c r="S2017" s="657">
        <v>1940907</v>
      </c>
      <c r="T2017" s="657">
        <v>1940907</v>
      </c>
      <c r="U2017" s="657">
        <v>219485</v>
      </c>
      <c r="V2017" s="655">
        <v>2021</v>
      </c>
      <c r="W2017" s="659"/>
      <c r="X2017" s="660">
        <f t="shared" si="95"/>
        <v>8.84300521675741</v>
      </c>
      <c r="Y2017" s="661" t="str">
        <f t="shared" si="93"/>
        <v/>
      </c>
      <c r="Z2017" s="661" t="str">
        <f t="shared" si="94"/>
        <v/>
      </c>
    </row>
    <row r="2018" spans="1:26" s="128" customFormat="1" hidden="1">
      <c r="A2018" s="655">
        <v>63136</v>
      </c>
      <c r="B2018" s="656" t="s">
        <v>33</v>
      </c>
      <c r="C2018" s="655" t="s">
        <v>2793</v>
      </c>
      <c r="D2018" s="656" t="s">
        <v>3178</v>
      </c>
      <c r="E2018" s="656" t="s">
        <v>2247</v>
      </c>
      <c r="F2018" s="655">
        <v>61227</v>
      </c>
      <c r="G2018" s="656" t="s">
        <v>131</v>
      </c>
      <c r="H2018" s="656" t="s">
        <v>1183</v>
      </c>
      <c r="I2018" s="656" t="s">
        <v>58</v>
      </c>
      <c r="J2018" s="655">
        <v>22</v>
      </c>
      <c r="K2018" s="655">
        <v>2</v>
      </c>
      <c r="L2018" s="656" t="s">
        <v>52</v>
      </c>
      <c r="M2018" s="656" t="s">
        <v>448</v>
      </c>
      <c r="N2018" s="656" t="s">
        <v>449</v>
      </c>
      <c r="O2018" s="656" t="s">
        <v>449</v>
      </c>
      <c r="P2018" s="656" t="s">
        <v>1176</v>
      </c>
      <c r="Q2018" s="657">
        <v>0</v>
      </c>
      <c r="R2018" s="657">
        <v>0</v>
      </c>
      <c r="S2018" s="657">
        <v>90544</v>
      </c>
      <c r="T2018" s="657">
        <v>90544</v>
      </c>
      <c r="U2018" s="657">
        <v>10239</v>
      </c>
      <c r="V2018" s="655">
        <v>2021</v>
      </c>
      <c r="W2018" s="659"/>
      <c r="X2018" s="660">
        <f t="shared" si="95"/>
        <v>8.843051079206953</v>
      </c>
      <c r="Y2018" s="661" t="str">
        <f t="shared" si="93"/>
        <v/>
      </c>
      <c r="Z2018" s="661" t="str">
        <f t="shared" si="94"/>
        <v/>
      </c>
    </row>
    <row r="2019" spans="1:26" s="128" customFormat="1" hidden="1">
      <c r="A2019" s="655">
        <v>63161</v>
      </c>
      <c r="B2019" s="656" t="s">
        <v>33</v>
      </c>
      <c r="C2019" s="655" t="s">
        <v>2793</v>
      </c>
      <c r="D2019" s="656" t="s">
        <v>3179</v>
      </c>
      <c r="E2019" s="656" t="s">
        <v>2210</v>
      </c>
      <c r="F2019" s="655">
        <v>61012</v>
      </c>
      <c r="G2019" s="656" t="s">
        <v>57</v>
      </c>
      <c r="H2019" s="656" t="s">
        <v>1182</v>
      </c>
      <c r="I2019" s="656" t="s">
        <v>58</v>
      </c>
      <c r="J2019" s="655">
        <v>22</v>
      </c>
      <c r="K2019" s="655">
        <v>2</v>
      </c>
      <c r="L2019" s="656" t="s">
        <v>52</v>
      </c>
      <c r="M2019" s="656" t="s">
        <v>448</v>
      </c>
      <c r="N2019" s="656" t="s">
        <v>449</v>
      </c>
      <c r="O2019" s="656" t="s">
        <v>449</v>
      </c>
      <c r="P2019" s="656" t="s">
        <v>1176</v>
      </c>
      <c r="Q2019" s="657">
        <v>0</v>
      </c>
      <c r="R2019" s="657">
        <v>0</v>
      </c>
      <c r="S2019" s="657">
        <v>27890</v>
      </c>
      <c r="T2019" s="657">
        <v>27890</v>
      </c>
      <c r="U2019" s="657">
        <v>3154</v>
      </c>
      <c r="V2019" s="655">
        <v>2021</v>
      </c>
      <c r="W2019" s="659"/>
      <c r="X2019" s="660">
        <f t="shared" si="95"/>
        <v>8.8427393785668986</v>
      </c>
      <c r="Y2019" s="661" t="str">
        <f t="shared" si="93"/>
        <v/>
      </c>
      <c r="Z2019" s="661" t="str">
        <f t="shared" si="94"/>
        <v/>
      </c>
    </row>
    <row r="2020" spans="1:26" s="128" customFormat="1" hidden="1">
      <c r="A2020" s="655">
        <v>63191</v>
      </c>
      <c r="B2020" s="656" t="s">
        <v>33</v>
      </c>
      <c r="C2020" s="655" t="s">
        <v>2793</v>
      </c>
      <c r="D2020" s="656" t="s">
        <v>3180</v>
      </c>
      <c r="E2020" s="656" t="s">
        <v>3181</v>
      </c>
      <c r="F2020" s="655">
        <v>62701</v>
      </c>
      <c r="G2020" s="656" t="s">
        <v>131</v>
      </c>
      <c r="H2020" s="656" t="s">
        <v>1183</v>
      </c>
      <c r="I2020" s="656" t="s">
        <v>58</v>
      </c>
      <c r="J2020" s="655">
        <v>22</v>
      </c>
      <c r="K2020" s="655">
        <v>2</v>
      </c>
      <c r="L2020" s="656" t="s">
        <v>52</v>
      </c>
      <c r="M2020" s="656" t="s">
        <v>448</v>
      </c>
      <c r="N2020" s="656" t="s">
        <v>449</v>
      </c>
      <c r="O2020" s="656" t="s">
        <v>449</v>
      </c>
      <c r="P2020" s="656" t="s">
        <v>1176</v>
      </c>
      <c r="Q2020" s="657">
        <v>0</v>
      </c>
      <c r="R2020" s="657">
        <v>0</v>
      </c>
      <c r="S2020" s="657">
        <v>32559</v>
      </c>
      <c r="T2020" s="657">
        <v>32559</v>
      </c>
      <c r="U2020" s="657">
        <v>3682</v>
      </c>
      <c r="V2020" s="655">
        <v>2021</v>
      </c>
      <c r="W2020" s="659"/>
      <c r="X2020" s="660">
        <f t="shared" si="95"/>
        <v>8.8427485062466058</v>
      </c>
      <c r="Y2020" s="661" t="str">
        <f t="shared" si="93"/>
        <v/>
      </c>
      <c r="Z2020" s="661" t="str">
        <f t="shared" si="94"/>
        <v/>
      </c>
    </row>
    <row r="2021" spans="1:26" s="128" customFormat="1" ht="25" hidden="1">
      <c r="A2021" s="655">
        <v>63203</v>
      </c>
      <c r="B2021" s="656" t="s">
        <v>33</v>
      </c>
      <c r="C2021" s="655" t="s">
        <v>2793</v>
      </c>
      <c r="D2021" s="656" t="s">
        <v>2979</v>
      </c>
      <c r="E2021" s="656" t="s">
        <v>2980</v>
      </c>
      <c r="F2021" s="655">
        <v>19780</v>
      </c>
      <c r="G2021" s="656" t="s">
        <v>89</v>
      </c>
      <c r="H2021" s="656" t="s">
        <v>1183</v>
      </c>
      <c r="I2021" s="656" t="s">
        <v>58</v>
      </c>
      <c r="J2021" s="655">
        <v>22</v>
      </c>
      <c r="K2021" s="655">
        <v>1</v>
      </c>
      <c r="L2021" s="656" t="s">
        <v>34</v>
      </c>
      <c r="M2021" s="656" t="s">
        <v>50</v>
      </c>
      <c r="N2021" s="656" t="s">
        <v>46</v>
      </c>
      <c r="O2021" s="656" t="s">
        <v>46</v>
      </c>
      <c r="P2021" s="656" t="s">
        <v>47</v>
      </c>
      <c r="Q2021" s="657">
        <v>1209</v>
      </c>
      <c r="R2021" s="657">
        <v>1209</v>
      </c>
      <c r="S2021" s="657">
        <v>7254</v>
      </c>
      <c r="T2021" s="657">
        <v>7254</v>
      </c>
      <c r="U2021" s="657">
        <v>393</v>
      </c>
      <c r="V2021" s="655">
        <v>2021</v>
      </c>
      <c r="W2021" s="659"/>
      <c r="X2021" s="660">
        <f t="shared" si="95"/>
        <v>18.458015267175572</v>
      </c>
      <c r="Y2021" s="661" t="str">
        <f t="shared" si="93"/>
        <v/>
      </c>
      <c r="Z2021" s="661" t="str">
        <f t="shared" si="94"/>
        <v/>
      </c>
    </row>
    <row r="2022" spans="1:26" s="128" customFormat="1" hidden="1">
      <c r="A2022" s="655">
        <v>63212</v>
      </c>
      <c r="B2022" s="656" t="s">
        <v>33</v>
      </c>
      <c r="C2022" s="655" t="s">
        <v>2793</v>
      </c>
      <c r="D2022" s="656" t="s">
        <v>2981</v>
      </c>
      <c r="E2022" s="656" t="s">
        <v>1965</v>
      </c>
      <c r="F2022" s="655">
        <v>58135</v>
      </c>
      <c r="G2022" s="656" t="s">
        <v>89</v>
      </c>
      <c r="H2022" s="656" t="s">
        <v>1183</v>
      </c>
      <c r="I2022" s="656" t="s">
        <v>58</v>
      </c>
      <c r="J2022" s="655">
        <v>22</v>
      </c>
      <c r="K2022" s="655">
        <v>2</v>
      </c>
      <c r="L2022" s="656" t="s">
        <v>52</v>
      </c>
      <c r="M2022" s="656" t="s">
        <v>448</v>
      </c>
      <c r="N2022" s="656" t="s">
        <v>449</v>
      </c>
      <c r="O2022" s="656" t="s">
        <v>449</v>
      </c>
      <c r="P2022" s="656" t="s">
        <v>1176</v>
      </c>
      <c r="Q2022" s="657">
        <v>0</v>
      </c>
      <c r="R2022" s="657">
        <v>0</v>
      </c>
      <c r="S2022" s="657">
        <v>29617</v>
      </c>
      <c r="T2022" s="657">
        <v>29617</v>
      </c>
      <c r="U2022" s="657">
        <v>3349</v>
      </c>
      <c r="V2022" s="655">
        <v>2021</v>
      </c>
      <c r="W2022" s="659"/>
      <c r="X2022" s="660">
        <f t="shared" si="95"/>
        <v>8.8435353836966257</v>
      </c>
      <c r="Y2022" s="661" t="str">
        <f t="shared" si="93"/>
        <v/>
      </c>
      <c r="Z2022" s="661" t="str">
        <f t="shared" si="94"/>
        <v/>
      </c>
    </row>
    <row r="2023" spans="1:26" s="128" customFormat="1" ht="25">
      <c r="A2023" s="655">
        <v>63214</v>
      </c>
      <c r="B2023" s="656" t="s">
        <v>33</v>
      </c>
      <c r="C2023" s="655" t="s">
        <v>2793</v>
      </c>
      <c r="D2023" s="656" t="s">
        <v>2982</v>
      </c>
      <c r="E2023" s="656" t="s">
        <v>2983</v>
      </c>
      <c r="F2023" s="655">
        <v>62950</v>
      </c>
      <c r="G2023" s="656" t="s">
        <v>81</v>
      </c>
      <c r="H2023" s="656" t="s">
        <v>1183</v>
      </c>
      <c r="I2023" s="656" t="s">
        <v>58</v>
      </c>
      <c r="J2023" s="655">
        <v>22</v>
      </c>
      <c r="K2023" s="655">
        <v>2</v>
      </c>
      <c r="L2023" s="656" t="s">
        <v>52</v>
      </c>
      <c r="M2023" s="656" t="s">
        <v>1890</v>
      </c>
      <c r="N2023" s="656" t="s">
        <v>1052</v>
      </c>
      <c r="O2023" s="656" t="s">
        <v>82</v>
      </c>
      <c r="P2023" s="656" t="s">
        <v>2794</v>
      </c>
      <c r="Q2023" s="657">
        <v>435</v>
      </c>
      <c r="R2023" s="657">
        <v>435</v>
      </c>
      <c r="S2023" s="657">
        <v>0</v>
      </c>
      <c r="T2023" s="657">
        <v>0</v>
      </c>
      <c r="U2023" s="657">
        <v>-47</v>
      </c>
      <c r="V2023" s="655">
        <v>2021</v>
      </c>
      <c r="W2023" s="659"/>
      <c r="X2023" s="660" t="str">
        <f t="shared" si="95"/>
        <v/>
      </c>
      <c r="Y2023" s="661" t="str">
        <f t="shared" si="93"/>
        <v/>
      </c>
      <c r="Z2023" s="661" t="str">
        <f t="shared" si="94"/>
        <v/>
      </c>
    </row>
    <row r="2024" spans="1:26" s="128" customFormat="1">
      <c r="A2024" s="655">
        <v>63214</v>
      </c>
      <c r="B2024" s="656" t="s">
        <v>33</v>
      </c>
      <c r="C2024" s="655" t="s">
        <v>2793</v>
      </c>
      <c r="D2024" s="656" t="s">
        <v>2982</v>
      </c>
      <c r="E2024" s="656" t="s">
        <v>2983</v>
      </c>
      <c r="F2024" s="655">
        <v>62950</v>
      </c>
      <c r="G2024" s="656" t="s">
        <v>81</v>
      </c>
      <c r="H2024" s="656" t="s">
        <v>1183</v>
      </c>
      <c r="I2024" s="656" t="s">
        <v>58</v>
      </c>
      <c r="J2024" s="655">
        <v>22</v>
      </c>
      <c r="K2024" s="655">
        <v>2</v>
      </c>
      <c r="L2024" s="656" t="s">
        <v>52</v>
      </c>
      <c r="M2024" s="656" t="s">
        <v>448</v>
      </c>
      <c r="N2024" s="656" t="s">
        <v>449</v>
      </c>
      <c r="O2024" s="656" t="s">
        <v>449</v>
      </c>
      <c r="P2024" s="656" t="s">
        <v>1176</v>
      </c>
      <c r="Q2024" s="657">
        <v>0</v>
      </c>
      <c r="R2024" s="657">
        <v>0</v>
      </c>
      <c r="S2024" s="657">
        <v>66454</v>
      </c>
      <c r="T2024" s="657">
        <v>66454</v>
      </c>
      <c r="U2024" s="657">
        <v>7515</v>
      </c>
      <c r="V2024" s="655">
        <v>2021</v>
      </c>
      <c r="W2024" s="659"/>
      <c r="X2024" s="660">
        <f t="shared" si="95"/>
        <v>8.8428476380572185</v>
      </c>
      <c r="Y2024" s="661" t="str">
        <f t="shared" si="93"/>
        <v/>
      </c>
      <c r="Z2024" s="661" t="str">
        <f t="shared" si="94"/>
        <v/>
      </c>
    </row>
    <row r="2025" spans="1:26" s="128" customFormat="1" hidden="1">
      <c r="A2025" s="655">
        <v>63224</v>
      </c>
      <c r="B2025" s="656" t="s">
        <v>33</v>
      </c>
      <c r="C2025" s="655" t="s">
        <v>2793</v>
      </c>
      <c r="D2025" s="656" t="s">
        <v>3182</v>
      </c>
      <c r="E2025" s="656" t="s">
        <v>2921</v>
      </c>
      <c r="F2025" s="655">
        <v>60531</v>
      </c>
      <c r="G2025" s="656" t="s">
        <v>57</v>
      </c>
      <c r="H2025" s="656" t="s">
        <v>1182</v>
      </c>
      <c r="I2025" s="656" t="s">
        <v>58</v>
      </c>
      <c r="J2025" s="655">
        <v>22</v>
      </c>
      <c r="K2025" s="655">
        <v>2</v>
      </c>
      <c r="L2025" s="656" t="s">
        <v>52</v>
      </c>
      <c r="M2025" s="656" t="s">
        <v>448</v>
      </c>
      <c r="N2025" s="656" t="s">
        <v>449</v>
      </c>
      <c r="O2025" s="656" t="s">
        <v>449</v>
      </c>
      <c r="P2025" s="656" t="s">
        <v>1176</v>
      </c>
      <c r="Q2025" s="657">
        <v>0</v>
      </c>
      <c r="R2025" s="657">
        <v>0</v>
      </c>
      <c r="S2025" s="657">
        <v>64644</v>
      </c>
      <c r="T2025" s="657">
        <v>64644</v>
      </c>
      <c r="U2025" s="657">
        <v>7310</v>
      </c>
      <c r="V2025" s="655">
        <v>2021</v>
      </c>
      <c r="W2025" s="659"/>
      <c r="X2025" s="660">
        <f t="shared" si="95"/>
        <v>8.8432284541723671</v>
      </c>
      <c r="Y2025" s="661" t="str">
        <f t="shared" si="93"/>
        <v/>
      </c>
      <c r="Z2025" s="661" t="str">
        <f t="shared" si="94"/>
        <v/>
      </c>
    </row>
    <row r="2026" spans="1:26" s="128" customFormat="1" ht="25" hidden="1">
      <c r="A2026" s="655">
        <v>63230</v>
      </c>
      <c r="B2026" s="656" t="s">
        <v>33</v>
      </c>
      <c r="C2026" s="655" t="s">
        <v>2793</v>
      </c>
      <c r="D2026" s="656" t="s">
        <v>2984</v>
      </c>
      <c r="E2026" s="656" t="s">
        <v>2985</v>
      </c>
      <c r="F2026" s="655">
        <v>62994</v>
      </c>
      <c r="G2026" s="656" t="s">
        <v>57</v>
      </c>
      <c r="H2026" s="656" t="s">
        <v>1182</v>
      </c>
      <c r="I2026" s="656" t="s">
        <v>58</v>
      </c>
      <c r="J2026" s="655">
        <v>111</v>
      </c>
      <c r="K2026" s="655">
        <v>6</v>
      </c>
      <c r="L2026" s="656" t="s">
        <v>410</v>
      </c>
      <c r="M2026" s="656" t="s">
        <v>448</v>
      </c>
      <c r="N2026" s="656" t="s">
        <v>449</v>
      </c>
      <c r="O2026" s="656" t="s">
        <v>449</v>
      </c>
      <c r="P2026" s="656" t="s">
        <v>1176</v>
      </c>
      <c r="Q2026" s="657">
        <v>0</v>
      </c>
      <c r="R2026" s="657">
        <v>0</v>
      </c>
      <c r="S2026" s="657">
        <v>56703</v>
      </c>
      <c r="T2026" s="657">
        <v>56703</v>
      </c>
      <c r="U2026" s="657">
        <v>6412</v>
      </c>
      <c r="V2026" s="655">
        <v>2021</v>
      </c>
      <c r="W2026" s="659"/>
      <c r="X2026" s="660" t="str">
        <f t="shared" si="95"/>
        <v/>
      </c>
      <c r="Y2026" s="661" t="str">
        <f t="shared" si="93"/>
        <v/>
      </c>
      <c r="Z2026" s="661" t="str">
        <f t="shared" si="94"/>
        <v/>
      </c>
    </row>
    <row r="2027" spans="1:26" s="128" customFormat="1" ht="25" hidden="1">
      <c r="A2027" s="655">
        <v>63232</v>
      </c>
      <c r="B2027" s="656" t="s">
        <v>33</v>
      </c>
      <c r="C2027" s="655" t="s">
        <v>2793</v>
      </c>
      <c r="D2027" s="656" t="s">
        <v>2986</v>
      </c>
      <c r="E2027" s="656" t="s">
        <v>2985</v>
      </c>
      <c r="F2027" s="655">
        <v>62994</v>
      </c>
      <c r="G2027" s="656" t="s">
        <v>81</v>
      </c>
      <c r="H2027" s="656" t="s">
        <v>1183</v>
      </c>
      <c r="I2027" s="656" t="s">
        <v>58</v>
      </c>
      <c r="J2027" s="655">
        <v>335</v>
      </c>
      <c r="K2027" s="655">
        <v>6</v>
      </c>
      <c r="L2027" s="656" t="s">
        <v>410</v>
      </c>
      <c r="M2027" s="656" t="s">
        <v>448</v>
      </c>
      <c r="N2027" s="656" t="s">
        <v>449</v>
      </c>
      <c r="O2027" s="656" t="s">
        <v>449</v>
      </c>
      <c r="P2027" s="656" t="s">
        <v>1176</v>
      </c>
      <c r="Q2027" s="657">
        <v>0</v>
      </c>
      <c r="R2027" s="657">
        <v>0</v>
      </c>
      <c r="S2027" s="657">
        <v>20472</v>
      </c>
      <c r="T2027" s="657">
        <v>20472</v>
      </c>
      <c r="U2027" s="657">
        <v>2315</v>
      </c>
      <c r="V2027" s="655">
        <v>2021</v>
      </c>
      <c r="W2027" s="659"/>
      <c r="X2027" s="660" t="str">
        <f t="shared" si="95"/>
        <v/>
      </c>
      <c r="Y2027" s="661" t="str">
        <f t="shared" si="93"/>
        <v/>
      </c>
      <c r="Z2027" s="661" t="str">
        <f t="shared" si="94"/>
        <v/>
      </c>
    </row>
    <row r="2028" spans="1:26" s="128" customFormat="1" ht="25" hidden="1">
      <c r="A2028" s="655">
        <v>63236</v>
      </c>
      <c r="B2028" s="656" t="s">
        <v>54</v>
      </c>
      <c r="C2028" s="655" t="s">
        <v>2793</v>
      </c>
      <c r="D2028" s="656" t="s">
        <v>2987</v>
      </c>
      <c r="E2028" s="656" t="s">
        <v>2988</v>
      </c>
      <c r="F2028" s="655">
        <v>62997</v>
      </c>
      <c r="G2028" s="656" t="s">
        <v>57</v>
      </c>
      <c r="H2028" s="656" t="s">
        <v>1182</v>
      </c>
      <c r="I2028" s="656" t="s">
        <v>58</v>
      </c>
      <c r="J2028" s="655">
        <v>441</v>
      </c>
      <c r="K2028" s="655">
        <v>5</v>
      </c>
      <c r="L2028" s="656" t="s">
        <v>413</v>
      </c>
      <c r="M2028" s="656" t="s">
        <v>51</v>
      </c>
      <c r="N2028" s="656" t="s">
        <v>39</v>
      </c>
      <c r="O2028" s="656" t="s">
        <v>39</v>
      </c>
      <c r="P2028" s="656" t="s">
        <v>1037</v>
      </c>
      <c r="Q2028" s="657">
        <v>337869</v>
      </c>
      <c r="R2028" s="657">
        <v>202224</v>
      </c>
      <c r="S2028" s="657">
        <v>378414</v>
      </c>
      <c r="T2028" s="657">
        <v>226490</v>
      </c>
      <c r="U2028" s="657">
        <v>19914</v>
      </c>
      <c r="V2028" s="655">
        <v>2021</v>
      </c>
      <c r="W2028" s="659"/>
      <c r="X2028" s="660" t="str">
        <f t="shared" si="95"/>
        <v/>
      </c>
      <c r="Y2028" s="661" t="str">
        <f t="shared" si="93"/>
        <v/>
      </c>
      <c r="Z2028" s="661" t="str">
        <f t="shared" si="94"/>
        <v/>
      </c>
    </row>
    <row r="2029" spans="1:26" s="128" customFormat="1" hidden="1">
      <c r="A2029" s="655">
        <v>63239</v>
      </c>
      <c r="B2029" s="656" t="s">
        <v>33</v>
      </c>
      <c r="C2029" s="655" t="s">
        <v>2793</v>
      </c>
      <c r="D2029" s="656" t="s">
        <v>2989</v>
      </c>
      <c r="E2029" s="656" t="s">
        <v>1965</v>
      </c>
      <c r="F2029" s="655">
        <v>58135</v>
      </c>
      <c r="G2029" s="656" t="s">
        <v>41</v>
      </c>
      <c r="H2029" s="656" t="s">
        <v>1183</v>
      </c>
      <c r="I2029" s="656" t="s">
        <v>58</v>
      </c>
      <c r="J2029" s="655">
        <v>22</v>
      </c>
      <c r="K2029" s="655">
        <v>2</v>
      </c>
      <c r="L2029" s="656" t="s">
        <v>52</v>
      </c>
      <c r="M2029" s="656" t="s">
        <v>448</v>
      </c>
      <c r="N2029" s="656" t="s">
        <v>449</v>
      </c>
      <c r="O2029" s="656" t="s">
        <v>449</v>
      </c>
      <c r="P2029" s="656" t="s">
        <v>1176</v>
      </c>
      <c r="Q2029" s="657">
        <v>0</v>
      </c>
      <c r="R2029" s="657">
        <v>0</v>
      </c>
      <c r="S2029" s="657">
        <v>11699</v>
      </c>
      <c r="T2029" s="657">
        <v>11699</v>
      </c>
      <c r="U2029" s="657">
        <v>1323</v>
      </c>
      <c r="V2029" s="655">
        <v>2021</v>
      </c>
      <c r="W2029" s="659"/>
      <c r="X2029" s="660">
        <f t="shared" si="95"/>
        <v>8.842781557067271</v>
      </c>
      <c r="Y2029" s="661" t="str">
        <f t="shared" si="93"/>
        <v/>
      </c>
      <c r="Z2029" s="661" t="str">
        <f t="shared" si="94"/>
        <v/>
      </c>
    </row>
    <row r="2030" spans="1:26" s="128" customFormat="1" hidden="1">
      <c r="A2030" s="655">
        <v>63240</v>
      </c>
      <c r="B2030" s="656" t="s">
        <v>33</v>
      </c>
      <c r="C2030" s="655" t="s">
        <v>2793</v>
      </c>
      <c r="D2030" s="656" t="s">
        <v>2990</v>
      </c>
      <c r="E2030" s="656" t="s">
        <v>1965</v>
      </c>
      <c r="F2030" s="655">
        <v>58135</v>
      </c>
      <c r="G2030" s="656" t="s">
        <v>41</v>
      </c>
      <c r="H2030" s="656" t="s">
        <v>1183</v>
      </c>
      <c r="I2030" s="656" t="s">
        <v>58</v>
      </c>
      <c r="J2030" s="655">
        <v>22</v>
      </c>
      <c r="K2030" s="655">
        <v>2</v>
      </c>
      <c r="L2030" s="656" t="s">
        <v>52</v>
      </c>
      <c r="M2030" s="656" t="s">
        <v>448</v>
      </c>
      <c r="N2030" s="656" t="s">
        <v>449</v>
      </c>
      <c r="O2030" s="656" t="s">
        <v>449</v>
      </c>
      <c r="P2030" s="656" t="s">
        <v>1176</v>
      </c>
      <c r="Q2030" s="657">
        <v>0</v>
      </c>
      <c r="R2030" s="657">
        <v>0</v>
      </c>
      <c r="S2030" s="657">
        <v>11945</v>
      </c>
      <c r="T2030" s="657">
        <v>11945</v>
      </c>
      <c r="U2030" s="657">
        <v>1351</v>
      </c>
      <c r="V2030" s="655">
        <v>2021</v>
      </c>
      <c r="W2030" s="659"/>
      <c r="X2030" s="660">
        <f t="shared" si="95"/>
        <v>8.8415988156920804</v>
      </c>
      <c r="Y2030" s="661" t="str">
        <f t="shared" si="93"/>
        <v/>
      </c>
      <c r="Z2030" s="661" t="str">
        <f t="shared" si="94"/>
        <v/>
      </c>
    </row>
    <row r="2031" spans="1:26" s="128" customFormat="1" hidden="1">
      <c r="A2031" s="655">
        <v>63244</v>
      </c>
      <c r="B2031" s="656" t="s">
        <v>33</v>
      </c>
      <c r="C2031" s="655" t="s">
        <v>2793</v>
      </c>
      <c r="D2031" s="656" t="s">
        <v>3183</v>
      </c>
      <c r="E2031" s="656" t="s">
        <v>1965</v>
      </c>
      <c r="F2031" s="655">
        <v>58135</v>
      </c>
      <c r="G2031" s="656" t="s">
        <v>41</v>
      </c>
      <c r="H2031" s="656" t="s">
        <v>1183</v>
      </c>
      <c r="I2031" s="656" t="s">
        <v>58</v>
      </c>
      <c r="J2031" s="655">
        <v>22</v>
      </c>
      <c r="K2031" s="655">
        <v>2</v>
      </c>
      <c r="L2031" s="656" t="s">
        <v>52</v>
      </c>
      <c r="M2031" s="656" t="s">
        <v>448</v>
      </c>
      <c r="N2031" s="656" t="s">
        <v>449</v>
      </c>
      <c r="O2031" s="656" t="s">
        <v>449</v>
      </c>
      <c r="P2031" s="656" t="s">
        <v>1176</v>
      </c>
      <c r="Q2031" s="657">
        <v>0</v>
      </c>
      <c r="R2031" s="657">
        <v>0</v>
      </c>
      <c r="S2031" s="657">
        <v>22160</v>
      </c>
      <c r="T2031" s="657">
        <v>22160</v>
      </c>
      <c r="U2031" s="657">
        <v>2506</v>
      </c>
      <c r="V2031" s="655">
        <v>2021</v>
      </c>
      <c r="W2031" s="659"/>
      <c r="X2031" s="660">
        <f t="shared" si="95"/>
        <v>8.8427773343974465</v>
      </c>
      <c r="Y2031" s="661" t="str">
        <f t="shared" si="93"/>
        <v/>
      </c>
      <c r="Z2031" s="661" t="str">
        <f t="shared" si="94"/>
        <v/>
      </c>
    </row>
    <row r="2032" spans="1:26" s="128" customFormat="1" hidden="1">
      <c r="A2032" s="655">
        <v>63245</v>
      </c>
      <c r="B2032" s="656" t="s">
        <v>33</v>
      </c>
      <c r="C2032" s="655" t="s">
        <v>2793</v>
      </c>
      <c r="D2032" s="656" t="s">
        <v>3184</v>
      </c>
      <c r="E2032" s="656" t="s">
        <v>1965</v>
      </c>
      <c r="F2032" s="655">
        <v>58135</v>
      </c>
      <c r="G2032" s="656" t="s">
        <v>41</v>
      </c>
      <c r="H2032" s="656" t="s">
        <v>1183</v>
      </c>
      <c r="I2032" s="656" t="s">
        <v>58</v>
      </c>
      <c r="J2032" s="655">
        <v>22</v>
      </c>
      <c r="K2032" s="655">
        <v>2</v>
      </c>
      <c r="L2032" s="656" t="s">
        <v>52</v>
      </c>
      <c r="M2032" s="656" t="s">
        <v>448</v>
      </c>
      <c r="N2032" s="656" t="s">
        <v>449</v>
      </c>
      <c r="O2032" s="656" t="s">
        <v>449</v>
      </c>
      <c r="P2032" s="656" t="s">
        <v>1176</v>
      </c>
      <c r="Q2032" s="657">
        <v>0</v>
      </c>
      <c r="R2032" s="657">
        <v>0</v>
      </c>
      <c r="S2032" s="657">
        <v>23965</v>
      </c>
      <c r="T2032" s="657">
        <v>23965</v>
      </c>
      <c r="U2032" s="657">
        <v>2710</v>
      </c>
      <c r="V2032" s="655">
        <v>2021</v>
      </c>
      <c r="W2032" s="659"/>
      <c r="X2032" s="660">
        <f t="shared" si="95"/>
        <v>8.8431734317343178</v>
      </c>
      <c r="Y2032" s="661" t="str">
        <f t="shared" si="93"/>
        <v/>
      </c>
      <c r="Z2032" s="661" t="str">
        <f t="shared" si="94"/>
        <v/>
      </c>
    </row>
    <row r="2033" spans="1:26" s="128" customFormat="1" hidden="1">
      <c r="A2033" s="655">
        <v>63262</v>
      </c>
      <c r="B2033" s="656" t="s">
        <v>33</v>
      </c>
      <c r="C2033" s="655" t="s">
        <v>2793</v>
      </c>
      <c r="D2033" s="656" t="s">
        <v>2991</v>
      </c>
      <c r="E2033" s="656" t="s">
        <v>2992</v>
      </c>
      <c r="F2033" s="655">
        <v>63058</v>
      </c>
      <c r="G2033" s="656" t="s">
        <v>41</v>
      </c>
      <c r="H2033" s="656" t="s">
        <v>1183</v>
      </c>
      <c r="I2033" s="656" t="s">
        <v>58</v>
      </c>
      <c r="J2033" s="655">
        <v>22</v>
      </c>
      <c r="K2033" s="655">
        <v>2</v>
      </c>
      <c r="L2033" s="656" t="s">
        <v>52</v>
      </c>
      <c r="M2033" s="656" t="s">
        <v>448</v>
      </c>
      <c r="N2033" s="656" t="s">
        <v>449</v>
      </c>
      <c r="O2033" s="656" t="s">
        <v>449</v>
      </c>
      <c r="P2033" s="656" t="s">
        <v>1176</v>
      </c>
      <c r="Q2033" s="657">
        <v>0</v>
      </c>
      <c r="R2033" s="657">
        <v>0</v>
      </c>
      <c r="S2033" s="657">
        <v>25327</v>
      </c>
      <c r="T2033" s="657">
        <v>25327</v>
      </c>
      <c r="U2033" s="657">
        <v>2864</v>
      </c>
      <c r="V2033" s="655">
        <v>2021</v>
      </c>
      <c r="W2033" s="659"/>
      <c r="X2033" s="660">
        <f t="shared" si="95"/>
        <v>8.8432262569832396</v>
      </c>
      <c r="Y2033" s="661" t="str">
        <f t="shared" si="93"/>
        <v/>
      </c>
      <c r="Z2033" s="661" t="str">
        <f t="shared" si="94"/>
        <v/>
      </c>
    </row>
    <row r="2034" spans="1:26" s="128" customFormat="1" hidden="1">
      <c r="A2034" s="655">
        <v>63263</v>
      </c>
      <c r="B2034" s="656" t="s">
        <v>33</v>
      </c>
      <c r="C2034" s="655" t="s">
        <v>2793</v>
      </c>
      <c r="D2034" s="656" t="s">
        <v>3185</v>
      </c>
      <c r="E2034" s="656" t="s">
        <v>1965</v>
      </c>
      <c r="F2034" s="655">
        <v>58135</v>
      </c>
      <c r="G2034" s="656" t="s">
        <v>41</v>
      </c>
      <c r="H2034" s="656" t="s">
        <v>1183</v>
      </c>
      <c r="I2034" s="656" t="s">
        <v>58</v>
      </c>
      <c r="J2034" s="655">
        <v>22</v>
      </c>
      <c r="K2034" s="655">
        <v>2</v>
      </c>
      <c r="L2034" s="656" t="s">
        <v>52</v>
      </c>
      <c r="M2034" s="656" t="s">
        <v>448</v>
      </c>
      <c r="N2034" s="656" t="s">
        <v>449</v>
      </c>
      <c r="O2034" s="656" t="s">
        <v>449</v>
      </c>
      <c r="P2034" s="656" t="s">
        <v>1176</v>
      </c>
      <c r="Q2034" s="657">
        <v>0</v>
      </c>
      <c r="R2034" s="657">
        <v>0</v>
      </c>
      <c r="S2034" s="657">
        <v>12097</v>
      </c>
      <c r="T2034" s="657">
        <v>12097</v>
      </c>
      <c r="U2034" s="657">
        <v>1368</v>
      </c>
      <c r="V2034" s="655">
        <v>2021</v>
      </c>
      <c r="W2034" s="659"/>
      <c r="X2034" s="660">
        <f t="shared" si="95"/>
        <v>8.8428362573099424</v>
      </c>
      <c r="Y2034" s="661" t="str">
        <f t="shared" si="93"/>
        <v/>
      </c>
      <c r="Z2034" s="661" t="str">
        <f t="shared" si="94"/>
        <v/>
      </c>
    </row>
    <row r="2035" spans="1:26" s="128" customFormat="1" ht="25">
      <c r="A2035" s="655">
        <v>63264</v>
      </c>
      <c r="B2035" s="656" t="s">
        <v>33</v>
      </c>
      <c r="C2035" s="655" t="s">
        <v>2793</v>
      </c>
      <c r="D2035" s="656" t="s">
        <v>3186</v>
      </c>
      <c r="E2035" s="656" t="s">
        <v>2210</v>
      </c>
      <c r="F2035" s="655">
        <v>61012</v>
      </c>
      <c r="G2035" s="656" t="s">
        <v>81</v>
      </c>
      <c r="H2035" s="656" t="s">
        <v>1183</v>
      </c>
      <c r="I2035" s="656" t="s">
        <v>58</v>
      </c>
      <c r="J2035" s="655">
        <v>22</v>
      </c>
      <c r="K2035" s="655">
        <v>2</v>
      </c>
      <c r="L2035" s="656" t="s">
        <v>52</v>
      </c>
      <c r="M2035" s="656" t="s">
        <v>1890</v>
      </c>
      <c r="N2035" s="656" t="s">
        <v>1052</v>
      </c>
      <c r="O2035" s="656" t="s">
        <v>82</v>
      </c>
      <c r="P2035" s="656" t="s">
        <v>2794</v>
      </c>
      <c r="Q2035" s="657">
        <v>0</v>
      </c>
      <c r="R2035" s="657">
        <v>0</v>
      </c>
      <c r="S2035" s="657">
        <v>0</v>
      </c>
      <c r="T2035" s="657">
        <v>0</v>
      </c>
      <c r="U2035" s="657">
        <v>0</v>
      </c>
      <c r="V2035" s="655">
        <v>2021</v>
      </c>
      <c r="W2035" s="659"/>
      <c r="X2035" s="660" t="str">
        <f t="shared" si="95"/>
        <v/>
      </c>
      <c r="Y2035" s="661" t="str">
        <f t="shared" si="93"/>
        <v/>
      </c>
      <c r="Z2035" s="661" t="str">
        <f t="shared" si="94"/>
        <v/>
      </c>
    </row>
    <row r="2036" spans="1:26" s="128" customFormat="1">
      <c r="A2036" s="655">
        <v>63264</v>
      </c>
      <c r="B2036" s="656" t="s">
        <v>33</v>
      </c>
      <c r="C2036" s="655" t="s">
        <v>2793</v>
      </c>
      <c r="D2036" s="656" t="s">
        <v>3186</v>
      </c>
      <c r="E2036" s="656" t="s">
        <v>2210</v>
      </c>
      <c r="F2036" s="655">
        <v>61012</v>
      </c>
      <c r="G2036" s="656" t="s">
        <v>81</v>
      </c>
      <c r="H2036" s="656" t="s">
        <v>1183</v>
      </c>
      <c r="I2036" s="656" t="s">
        <v>58</v>
      </c>
      <c r="J2036" s="655">
        <v>22</v>
      </c>
      <c r="K2036" s="655">
        <v>2</v>
      </c>
      <c r="L2036" s="656" t="s">
        <v>52</v>
      </c>
      <c r="M2036" s="656" t="s">
        <v>448</v>
      </c>
      <c r="N2036" s="656" t="s">
        <v>449</v>
      </c>
      <c r="O2036" s="656" t="s">
        <v>449</v>
      </c>
      <c r="P2036" s="656" t="s">
        <v>1176</v>
      </c>
      <c r="Q2036" s="657">
        <v>0</v>
      </c>
      <c r="R2036" s="657">
        <v>0</v>
      </c>
      <c r="S2036" s="657">
        <v>27219</v>
      </c>
      <c r="T2036" s="657">
        <v>27219</v>
      </c>
      <c r="U2036" s="657">
        <v>3078</v>
      </c>
      <c r="V2036" s="655">
        <v>2021</v>
      </c>
      <c r="W2036" s="659"/>
      <c r="X2036" s="660">
        <f t="shared" si="95"/>
        <v>8.8430799220272913</v>
      </c>
      <c r="Y2036" s="661" t="str">
        <f t="shared" si="93"/>
        <v/>
      </c>
      <c r="Z2036" s="661" t="str">
        <f t="shared" si="94"/>
        <v/>
      </c>
    </row>
    <row r="2037" spans="1:26" s="128" customFormat="1" ht="25" hidden="1">
      <c r="A2037" s="655">
        <v>63279</v>
      </c>
      <c r="B2037" s="656" t="s">
        <v>33</v>
      </c>
      <c r="C2037" s="655" t="s">
        <v>2793</v>
      </c>
      <c r="D2037" s="656" t="s">
        <v>2993</v>
      </c>
      <c r="E2037" s="656" t="s">
        <v>1657</v>
      </c>
      <c r="F2037" s="655">
        <v>58871</v>
      </c>
      <c r="G2037" s="656" t="s">
        <v>57</v>
      </c>
      <c r="H2037" s="656" t="s">
        <v>1182</v>
      </c>
      <c r="I2037" s="656" t="s">
        <v>58</v>
      </c>
      <c r="J2037" s="655">
        <v>22</v>
      </c>
      <c r="K2037" s="655">
        <v>2</v>
      </c>
      <c r="L2037" s="656" t="s">
        <v>52</v>
      </c>
      <c r="M2037" s="656" t="s">
        <v>448</v>
      </c>
      <c r="N2037" s="656" t="s">
        <v>449</v>
      </c>
      <c r="O2037" s="656" t="s">
        <v>449</v>
      </c>
      <c r="P2037" s="656" t="s">
        <v>1176</v>
      </c>
      <c r="Q2037" s="657">
        <v>0</v>
      </c>
      <c r="R2037" s="657">
        <v>0</v>
      </c>
      <c r="S2037" s="657">
        <v>11859</v>
      </c>
      <c r="T2037" s="657">
        <v>11859</v>
      </c>
      <c r="U2037" s="657">
        <v>1341</v>
      </c>
      <c r="V2037" s="655">
        <v>2021</v>
      </c>
      <c r="W2037" s="659"/>
      <c r="X2037" s="660">
        <f t="shared" si="95"/>
        <v>8.8434004474272925</v>
      </c>
      <c r="Y2037" s="661" t="str">
        <f t="shared" si="93"/>
        <v/>
      </c>
      <c r="Z2037" s="661" t="str">
        <f t="shared" si="94"/>
        <v/>
      </c>
    </row>
    <row r="2038" spans="1:26" s="128" customFormat="1" ht="25" hidden="1">
      <c r="A2038" s="655">
        <v>63288</v>
      </c>
      <c r="B2038" s="656" t="s">
        <v>33</v>
      </c>
      <c r="C2038" s="655" t="s">
        <v>2793</v>
      </c>
      <c r="D2038" s="656" t="s">
        <v>2994</v>
      </c>
      <c r="E2038" s="656" t="s">
        <v>2994</v>
      </c>
      <c r="F2038" s="655">
        <v>63060</v>
      </c>
      <c r="G2038" s="656" t="s">
        <v>41</v>
      </c>
      <c r="H2038" s="656" t="s">
        <v>1183</v>
      </c>
      <c r="I2038" s="656" t="s">
        <v>58</v>
      </c>
      <c r="J2038" s="655">
        <v>441</v>
      </c>
      <c r="K2038" s="655">
        <v>4</v>
      </c>
      <c r="L2038" s="656" t="s">
        <v>412</v>
      </c>
      <c r="M2038" s="656" t="s">
        <v>448</v>
      </c>
      <c r="N2038" s="656" t="s">
        <v>449</v>
      </c>
      <c r="O2038" s="656" t="s">
        <v>449</v>
      </c>
      <c r="P2038" s="656" t="s">
        <v>1176</v>
      </c>
      <c r="Q2038" s="657">
        <v>0</v>
      </c>
      <c r="R2038" s="657">
        <v>0</v>
      </c>
      <c r="S2038" s="657">
        <v>26519</v>
      </c>
      <c r="T2038" s="657">
        <v>26519</v>
      </c>
      <c r="U2038" s="657">
        <v>2999</v>
      </c>
      <c r="V2038" s="655">
        <v>2021</v>
      </c>
      <c r="W2038" s="659"/>
      <c r="X2038" s="660" t="str">
        <f t="shared" si="95"/>
        <v/>
      </c>
      <c r="Y2038" s="661" t="str">
        <f t="shared" si="93"/>
        <v/>
      </c>
      <c r="Z2038" s="661" t="str">
        <f t="shared" si="94"/>
        <v/>
      </c>
    </row>
    <row r="2039" spans="1:26" s="128" customFormat="1" ht="25" hidden="1">
      <c r="A2039" s="655">
        <v>63290</v>
      </c>
      <c r="B2039" s="656" t="s">
        <v>33</v>
      </c>
      <c r="C2039" s="655" t="s">
        <v>2793</v>
      </c>
      <c r="D2039" s="656" t="s">
        <v>2995</v>
      </c>
      <c r="E2039" s="656" t="s">
        <v>2995</v>
      </c>
      <c r="F2039" s="655">
        <v>63061</v>
      </c>
      <c r="G2039" s="656" t="s">
        <v>81</v>
      </c>
      <c r="H2039" s="656" t="s">
        <v>1183</v>
      </c>
      <c r="I2039" s="656" t="s">
        <v>58</v>
      </c>
      <c r="J2039" s="655">
        <v>441</v>
      </c>
      <c r="K2039" s="655">
        <v>4</v>
      </c>
      <c r="L2039" s="656" t="s">
        <v>412</v>
      </c>
      <c r="M2039" s="656" t="s">
        <v>448</v>
      </c>
      <c r="N2039" s="656" t="s">
        <v>449</v>
      </c>
      <c r="O2039" s="656" t="s">
        <v>449</v>
      </c>
      <c r="P2039" s="656" t="s">
        <v>1176</v>
      </c>
      <c r="Q2039" s="657">
        <v>0</v>
      </c>
      <c r="R2039" s="657">
        <v>0</v>
      </c>
      <c r="S2039" s="657">
        <v>25678</v>
      </c>
      <c r="T2039" s="657">
        <v>25678</v>
      </c>
      <c r="U2039" s="657">
        <v>2904</v>
      </c>
      <c r="V2039" s="655">
        <v>2021</v>
      </c>
      <c r="W2039" s="659"/>
      <c r="X2039" s="660" t="str">
        <f t="shared" si="95"/>
        <v/>
      </c>
      <c r="Y2039" s="661" t="str">
        <f t="shared" si="93"/>
        <v/>
      </c>
      <c r="Z2039" s="661" t="str">
        <f t="shared" si="94"/>
        <v/>
      </c>
    </row>
    <row r="2040" spans="1:26" s="128" customFormat="1" ht="25" hidden="1">
      <c r="A2040" s="655">
        <v>63291</v>
      </c>
      <c r="B2040" s="656" t="s">
        <v>33</v>
      </c>
      <c r="C2040" s="655" t="s">
        <v>2793</v>
      </c>
      <c r="D2040" s="656" t="s">
        <v>2996</v>
      </c>
      <c r="E2040" s="656" t="s">
        <v>2997</v>
      </c>
      <c r="F2040" s="655">
        <v>63059</v>
      </c>
      <c r="G2040" s="656" t="s">
        <v>57</v>
      </c>
      <c r="H2040" s="656" t="s">
        <v>1182</v>
      </c>
      <c r="I2040" s="656" t="s">
        <v>58</v>
      </c>
      <c r="J2040" s="655">
        <v>441</v>
      </c>
      <c r="K2040" s="655">
        <v>4</v>
      </c>
      <c r="L2040" s="656" t="s">
        <v>412</v>
      </c>
      <c r="M2040" s="656" t="s">
        <v>448</v>
      </c>
      <c r="N2040" s="656" t="s">
        <v>449</v>
      </c>
      <c r="O2040" s="656" t="s">
        <v>449</v>
      </c>
      <c r="P2040" s="656" t="s">
        <v>1176</v>
      </c>
      <c r="Q2040" s="657">
        <v>0</v>
      </c>
      <c r="R2040" s="657">
        <v>0</v>
      </c>
      <c r="S2040" s="657">
        <v>4962</v>
      </c>
      <c r="T2040" s="657">
        <v>4962</v>
      </c>
      <c r="U2040" s="657">
        <v>561</v>
      </c>
      <c r="V2040" s="655">
        <v>2021</v>
      </c>
      <c r="W2040" s="659"/>
      <c r="X2040" s="660" t="str">
        <f t="shared" si="95"/>
        <v/>
      </c>
      <c r="Y2040" s="661" t="str">
        <f t="shared" si="93"/>
        <v/>
      </c>
      <c r="Z2040" s="661" t="str">
        <f t="shared" si="94"/>
        <v/>
      </c>
    </row>
    <row r="2041" spans="1:26" s="128" customFormat="1" ht="25" hidden="1">
      <c r="A2041" s="655">
        <v>63292</v>
      </c>
      <c r="B2041" s="656" t="s">
        <v>33</v>
      </c>
      <c r="C2041" s="655" t="s">
        <v>2793</v>
      </c>
      <c r="D2041" s="656" t="s">
        <v>2998</v>
      </c>
      <c r="E2041" s="656" t="s">
        <v>2997</v>
      </c>
      <c r="F2041" s="655">
        <v>63059</v>
      </c>
      <c r="G2041" s="656" t="s">
        <v>57</v>
      </c>
      <c r="H2041" s="656" t="s">
        <v>1182</v>
      </c>
      <c r="I2041" s="656" t="s">
        <v>58</v>
      </c>
      <c r="J2041" s="655">
        <v>441</v>
      </c>
      <c r="K2041" s="655">
        <v>4</v>
      </c>
      <c r="L2041" s="656" t="s">
        <v>412</v>
      </c>
      <c r="M2041" s="656" t="s">
        <v>448</v>
      </c>
      <c r="N2041" s="656" t="s">
        <v>449</v>
      </c>
      <c r="O2041" s="656" t="s">
        <v>449</v>
      </c>
      <c r="P2041" s="656" t="s">
        <v>1176</v>
      </c>
      <c r="Q2041" s="657">
        <v>0</v>
      </c>
      <c r="R2041" s="657">
        <v>0</v>
      </c>
      <c r="S2041" s="657">
        <v>18395</v>
      </c>
      <c r="T2041" s="657">
        <v>18395</v>
      </c>
      <c r="U2041" s="657">
        <v>2080</v>
      </c>
      <c r="V2041" s="655">
        <v>2021</v>
      </c>
      <c r="W2041" s="659"/>
      <c r="X2041" s="660" t="str">
        <f t="shared" si="95"/>
        <v/>
      </c>
      <c r="Y2041" s="661" t="str">
        <f t="shared" si="93"/>
        <v/>
      </c>
      <c r="Z2041" s="661" t="str">
        <f t="shared" si="94"/>
        <v/>
      </c>
    </row>
    <row r="2042" spans="1:26" s="128" customFormat="1" ht="25" hidden="1">
      <c r="A2042" s="655">
        <v>63297</v>
      </c>
      <c r="B2042" s="656" t="s">
        <v>33</v>
      </c>
      <c r="C2042" s="655" t="s">
        <v>2793</v>
      </c>
      <c r="D2042" s="656" t="s">
        <v>2999</v>
      </c>
      <c r="E2042" s="656" t="s">
        <v>2985</v>
      </c>
      <c r="F2042" s="655">
        <v>62994</v>
      </c>
      <c r="G2042" s="656" t="s">
        <v>57</v>
      </c>
      <c r="H2042" s="656" t="s">
        <v>1182</v>
      </c>
      <c r="I2042" s="656" t="s">
        <v>58</v>
      </c>
      <c r="J2042" s="655">
        <v>611</v>
      </c>
      <c r="K2042" s="655">
        <v>4</v>
      </c>
      <c r="L2042" s="656" t="s">
        <v>412</v>
      </c>
      <c r="M2042" s="656" t="s">
        <v>448</v>
      </c>
      <c r="N2042" s="656" t="s">
        <v>449</v>
      </c>
      <c r="O2042" s="656" t="s">
        <v>449</v>
      </c>
      <c r="P2042" s="656" t="s">
        <v>1176</v>
      </c>
      <c r="Q2042" s="657">
        <v>0</v>
      </c>
      <c r="R2042" s="657">
        <v>0</v>
      </c>
      <c r="S2042" s="657">
        <v>25185</v>
      </c>
      <c r="T2042" s="657">
        <v>25185</v>
      </c>
      <c r="U2042" s="657">
        <v>2848</v>
      </c>
      <c r="V2042" s="655">
        <v>2021</v>
      </c>
      <c r="W2042" s="659"/>
      <c r="X2042" s="660" t="str">
        <f t="shared" si="95"/>
        <v/>
      </c>
      <c r="Y2042" s="661" t="str">
        <f t="shared" si="93"/>
        <v/>
      </c>
      <c r="Z2042" s="661" t="str">
        <f t="shared" si="94"/>
        <v/>
      </c>
    </row>
    <row r="2043" spans="1:26" s="128" customFormat="1" ht="25" hidden="1">
      <c r="A2043" s="655">
        <v>63302</v>
      </c>
      <c r="B2043" s="656" t="s">
        <v>33</v>
      </c>
      <c r="C2043" s="655" t="s">
        <v>2793</v>
      </c>
      <c r="D2043" s="656" t="s">
        <v>3187</v>
      </c>
      <c r="E2043" s="656" t="s">
        <v>3188</v>
      </c>
      <c r="F2043" s="655">
        <v>62971</v>
      </c>
      <c r="G2043" s="656" t="s">
        <v>41</v>
      </c>
      <c r="H2043" s="656" t="s">
        <v>1183</v>
      </c>
      <c r="I2043" s="656" t="s">
        <v>1155</v>
      </c>
      <c r="J2043" s="655">
        <v>22</v>
      </c>
      <c r="K2043" s="655">
        <v>2</v>
      </c>
      <c r="L2043" s="656" t="s">
        <v>52</v>
      </c>
      <c r="M2043" s="656" t="s">
        <v>1255</v>
      </c>
      <c r="N2043" s="656" t="s">
        <v>39</v>
      </c>
      <c r="O2043" s="656" t="s">
        <v>39</v>
      </c>
      <c r="P2043" s="656" t="s">
        <v>1037</v>
      </c>
      <c r="Q2043" s="657">
        <v>27820</v>
      </c>
      <c r="R2043" s="657">
        <v>27820</v>
      </c>
      <c r="S2043" s="657">
        <v>28572</v>
      </c>
      <c r="T2043" s="657">
        <v>28572</v>
      </c>
      <c r="U2043" s="657">
        <v>3045</v>
      </c>
      <c r="V2043" s="655">
        <v>2021</v>
      </c>
      <c r="W2043" s="659"/>
      <c r="X2043" s="660">
        <f t="shared" si="95"/>
        <v>9.3832512315270939</v>
      </c>
      <c r="Y2043" s="661" t="str">
        <f t="shared" si="93"/>
        <v/>
      </c>
      <c r="Z2043" s="661" t="str">
        <f t="shared" si="94"/>
        <v/>
      </c>
    </row>
    <row r="2044" spans="1:26" s="128" customFormat="1">
      <c r="A2044" s="655">
        <v>63336</v>
      </c>
      <c r="B2044" s="656" t="s">
        <v>33</v>
      </c>
      <c r="C2044" s="655" t="s">
        <v>2793</v>
      </c>
      <c r="D2044" s="656" t="s">
        <v>3189</v>
      </c>
      <c r="E2044" s="656" t="s">
        <v>3190</v>
      </c>
      <c r="F2044" s="655">
        <v>63106</v>
      </c>
      <c r="G2044" s="656" t="s">
        <v>81</v>
      </c>
      <c r="H2044" s="656" t="s">
        <v>1183</v>
      </c>
      <c r="I2044" s="656" t="s">
        <v>58</v>
      </c>
      <c r="J2044" s="655">
        <v>22</v>
      </c>
      <c r="K2044" s="655">
        <v>2</v>
      </c>
      <c r="L2044" s="656" t="s">
        <v>52</v>
      </c>
      <c r="M2044" s="656" t="s">
        <v>448</v>
      </c>
      <c r="N2044" s="656" t="s">
        <v>449</v>
      </c>
      <c r="O2044" s="656" t="s">
        <v>449</v>
      </c>
      <c r="P2044" s="656" t="s">
        <v>1176</v>
      </c>
      <c r="Q2044" s="657">
        <v>0</v>
      </c>
      <c r="R2044" s="657">
        <v>0</v>
      </c>
      <c r="S2044" s="657">
        <v>4987</v>
      </c>
      <c r="T2044" s="657">
        <v>4987</v>
      </c>
      <c r="U2044" s="657">
        <v>564</v>
      </c>
      <c r="V2044" s="655">
        <v>2021</v>
      </c>
      <c r="W2044" s="659"/>
      <c r="X2044" s="660">
        <f t="shared" si="95"/>
        <v>8.8421985815602842</v>
      </c>
      <c r="Y2044" s="661" t="str">
        <f t="shared" si="93"/>
        <v/>
      </c>
      <c r="Z2044" s="661" t="str">
        <f t="shared" si="94"/>
        <v/>
      </c>
    </row>
    <row r="2045" spans="1:26" s="128" customFormat="1" ht="25" hidden="1">
      <c r="A2045" s="655">
        <v>63337</v>
      </c>
      <c r="B2045" s="656" t="s">
        <v>33</v>
      </c>
      <c r="C2045" s="655" t="s">
        <v>2793</v>
      </c>
      <c r="D2045" s="656" t="s">
        <v>3191</v>
      </c>
      <c r="E2045" s="656" t="s">
        <v>3191</v>
      </c>
      <c r="F2045" s="655">
        <v>63107</v>
      </c>
      <c r="G2045" s="656" t="s">
        <v>57</v>
      </c>
      <c r="H2045" s="656" t="s">
        <v>1182</v>
      </c>
      <c r="I2045" s="656" t="s">
        <v>58</v>
      </c>
      <c r="J2045" s="655">
        <v>22</v>
      </c>
      <c r="K2045" s="655">
        <v>2</v>
      </c>
      <c r="L2045" s="656" t="s">
        <v>52</v>
      </c>
      <c r="M2045" s="656" t="s">
        <v>1890</v>
      </c>
      <c r="N2045" s="656" t="s">
        <v>1052</v>
      </c>
      <c r="O2045" s="656" t="s">
        <v>82</v>
      </c>
      <c r="P2045" s="656" t="s">
        <v>2794</v>
      </c>
      <c r="Q2045" s="657">
        <v>0</v>
      </c>
      <c r="R2045" s="657">
        <v>0</v>
      </c>
      <c r="S2045" s="657">
        <v>0</v>
      </c>
      <c r="T2045" s="657">
        <v>0</v>
      </c>
      <c r="U2045" s="657">
        <v>0</v>
      </c>
      <c r="V2045" s="655">
        <v>2021</v>
      </c>
      <c r="W2045" s="659"/>
      <c r="X2045" s="660" t="str">
        <f t="shared" si="95"/>
        <v/>
      </c>
      <c r="Y2045" s="661" t="str">
        <f t="shared" si="93"/>
        <v/>
      </c>
      <c r="Z2045" s="661" t="str">
        <f t="shared" si="94"/>
        <v/>
      </c>
    </row>
    <row r="2046" spans="1:26" s="128" customFormat="1" hidden="1">
      <c r="A2046" s="655">
        <v>63337</v>
      </c>
      <c r="B2046" s="656" t="s">
        <v>33</v>
      </c>
      <c r="C2046" s="655" t="s">
        <v>2793</v>
      </c>
      <c r="D2046" s="656" t="s">
        <v>3191</v>
      </c>
      <c r="E2046" s="656" t="s">
        <v>3191</v>
      </c>
      <c r="F2046" s="655">
        <v>63107</v>
      </c>
      <c r="G2046" s="656" t="s">
        <v>57</v>
      </c>
      <c r="H2046" s="656" t="s">
        <v>1182</v>
      </c>
      <c r="I2046" s="656" t="s">
        <v>58</v>
      </c>
      <c r="J2046" s="655">
        <v>22</v>
      </c>
      <c r="K2046" s="655">
        <v>2</v>
      </c>
      <c r="L2046" s="656" t="s">
        <v>52</v>
      </c>
      <c r="M2046" s="656" t="s">
        <v>448</v>
      </c>
      <c r="N2046" s="656" t="s">
        <v>449</v>
      </c>
      <c r="O2046" s="656" t="s">
        <v>449</v>
      </c>
      <c r="P2046" s="656" t="s">
        <v>1176</v>
      </c>
      <c r="Q2046" s="657">
        <v>0</v>
      </c>
      <c r="R2046" s="657">
        <v>0</v>
      </c>
      <c r="S2046" s="657">
        <v>62723</v>
      </c>
      <c r="T2046" s="657">
        <v>62723</v>
      </c>
      <c r="U2046" s="657">
        <v>7093</v>
      </c>
      <c r="V2046" s="655">
        <v>2021</v>
      </c>
      <c r="W2046" s="659"/>
      <c r="X2046" s="660">
        <f t="shared" si="95"/>
        <v>8.8429437473565482</v>
      </c>
      <c r="Y2046" s="661" t="str">
        <f t="shared" si="93"/>
        <v/>
      </c>
      <c r="Z2046" s="661" t="str">
        <f t="shared" si="94"/>
        <v/>
      </c>
    </row>
    <row r="2047" spans="1:26" s="128" customFormat="1">
      <c r="A2047" s="655">
        <v>63338</v>
      </c>
      <c r="B2047" s="656" t="s">
        <v>33</v>
      </c>
      <c r="C2047" s="655" t="s">
        <v>2793</v>
      </c>
      <c r="D2047" s="656" t="s">
        <v>3415</v>
      </c>
      <c r="E2047" s="656" t="s">
        <v>3416</v>
      </c>
      <c r="F2047" s="655">
        <v>63108</v>
      </c>
      <c r="G2047" s="656" t="s">
        <v>81</v>
      </c>
      <c r="H2047" s="656" t="s">
        <v>1183</v>
      </c>
      <c r="I2047" s="656" t="s">
        <v>58</v>
      </c>
      <c r="J2047" s="655">
        <v>22</v>
      </c>
      <c r="K2047" s="655">
        <v>2</v>
      </c>
      <c r="L2047" s="656" t="s">
        <v>52</v>
      </c>
      <c r="M2047" s="656" t="s">
        <v>448</v>
      </c>
      <c r="N2047" s="656" t="s">
        <v>449</v>
      </c>
      <c r="O2047" s="656" t="s">
        <v>449</v>
      </c>
      <c r="P2047" s="656" t="s">
        <v>1176</v>
      </c>
      <c r="Q2047" s="657">
        <v>0</v>
      </c>
      <c r="R2047" s="657">
        <v>0</v>
      </c>
      <c r="S2047" s="657">
        <v>8021</v>
      </c>
      <c r="T2047" s="657">
        <v>8021</v>
      </c>
      <c r="U2047" s="657">
        <v>907</v>
      </c>
      <c r="V2047" s="655">
        <v>2021</v>
      </c>
      <c r="W2047" s="659"/>
      <c r="X2047" s="660">
        <f t="shared" si="95"/>
        <v>8.8434399117971338</v>
      </c>
      <c r="Y2047" s="661" t="str">
        <f t="shared" si="93"/>
        <v/>
      </c>
      <c r="Z2047" s="661" t="str">
        <f t="shared" si="94"/>
        <v/>
      </c>
    </row>
    <row r="2048" spans="1:26" s="128" customFormat="1" hidden="1">
      <c r="A2048" s="655">
        <v>63339</v>
      </c>
      <c r="B2048" s="656" t="s">
        <v>33</v>
      </c>
      <c r="C2048" s="655" t="s">
        <v>2793</v>
      </c>
      <c r="D2048" s="656" t="s">
        <v>3192</v>
      </c>
      <c r="E2048" s="656" t="s">
        <v>3192</v>
      </c>
      <c r="F2048" s="655">
        <v>63109</v>
      </c>
      <c r="G2048" s="656" t="s">
        <v>57</v>
      </c>
      <c r="H2048" s="656" t="s">
        <v>1182</v>
      </c>
      <c r="I2048" s="656" t="s">
        <v>58</v>
      </c>
      <c r="J2048" s="655">
        <v>22</v>
      </c>
      <c r="K2048" s="655">
        <v>2</v>
      </c>
      <c r="L2048" s="656" t="s">
        <v>52</v>
      </c>
      <c r="M2048" s="656" t="s">
        <v>448</v>
      </c>
      <c r="N2048" s="656" t="s">
        <v>449</v>
      </c>
      <c r="O2048" s="656" t="s">
        <v>449</v>
      </c>
      <c r="P2048" s="656" t="s">
        <v>1176</v>
      </c>
      <c r="Q2048" s="657">
        <v>0</v>
      </c>
      <c r="R2048" s="657">
        <v>0</v>
      </c>
      <c r="S2048" s="657">
        <v>51926</v>
      </c>
      <c r="T2048" s="657">
        <v>51926</v>
      </c>
      <c r="U2048" s="657">
        <v>5872</v>
      </c>
      <c r="V2048" s="655">
        <v>2021</v>
      </c>
      <c r="W2048" s="659"/>
      <c r="X2048" s="660">
        <f t="shared" si="95"/>
        <v>8.8429836512261577</v>
      </c>
      <c r="Y2048" s="661" t="str">
        <f t="shared" si="93"/>
        <v/>
      </c>
      <c r="Z2048" s="661" t="str">
        <f t="shared" si="94"/>
        <v/>
      </c>
    </row>
    <row r="2049" spans="1:26" s="128" customFormat="1" hidden="1">
      <c r="A2049" s="655">
        <v>63340</v>
      </c>
      <c r="B2049" s="656" t="s">
        <v>33</v>
      </c>
      <c r="C2049" s="655" t="s">
        <v>2793</v>
      </c>
      <c r="D2049" s="656" t="s">
        <v>3193</v>
      </c>
      <c r="E2049" s="656" t="s">
        <v>3193</v>
      </c>
      <c r="F2049" s="655">
        <v>63110</v>
      </c>
      <c r="G2049" s="656" t="s">
        <v>57</v>
      </c>
      <c r="H2049" s="656" t="s">
        <v>1182</v>
      </c>
      <c r="I2049" s="656" t="s">
        <v>58</v>
      </c>
      <c r="J2049" s="655">
        <v>22</v>
      </c>
      <c r="K2049" s="655">
        <v>2</v>
      </c>
      <c r="L2049" s="656" t="s">
        <v>52</v>
      </c>
      <c r="M2049" s="656" t="s">
        <v>448</v>
      </c>
      <c r="N2049" s="656" t="s">
        <v>449</v>
      </c>
      <c r="O2049" s="656" t="s">
        <v>449</v>
      </c>
      <c r="P2049" s="656" t="s">
        <v>1176</v>
      </c>
      <c r="Q2049" s="657">
        <v>0</v>
      </c>
      <c r="R2049" s="657">
        <v>0</v>
      </c>
      <c r="S2049" s="657">
        <v>62944</v>
      </c>
      <c r="T2049" s="657">
        <v>62944</v>
      </c>
      <c r="U2049" s="657">
        <v>7118</v>
      </c>
      <c r="V2049" s="655">
        <v>2021</v>
      </c>
      <c r="W2049" s="659"/>
      <c r="X2049" s="660">
        <f t="shared" si="95"/>
        <v>8.8429334082607483</v>
      </c>
      <c r="Y2049" s="661" t="str">
        <f t="shared" si="93"/>
        <v/>
      </c>
      <c r="Z2049" s="661" t="str">
        <f t="shared" si="94"/>
        <v/>
      </c>
    </row>
    <row r="2050" spans="1:26" s="128" customFormat="1" hidden="1">
      <c r="A2050" s="655">
        <v>63341</v>
      </c>
      <c r="B2050" s="656" t="s">
        <v>33</v>
      </c>
      <c r="C2050" s="655" t="s">
        <v>2793</v>
      </c>
      <c r="D2050" s="656" t="s">
        <v>3194</v>
      </c>
      <c r="E2050" s="656" t="s">
        <v>3194</v>
      </c>
      <c r="F2050" s="655">
        <v>63111</v>
      </c>
      <c r="G2050" s="656" t="s">
        <v>57</v>
      </c>
      <c r="H2050" s="656" t="s">
        <v>1182</v>
      </c>
      <c r="I2050" s="656" t="s">
        <v>58</v>
      </c>
      <c r="J2050" s="655">
        <v>22</v>
      </c>
      <c r="K2050" s="655">
        <v>2</v>
      </c>
      <c r="L2050" s="656" t="s">
        <v>52</v>
      </c>
      <c r="M2050" s="656" t="s">
        <v>448</v>
      </c>
      <c r="N2050" s="656" t="s">
        <v>449</v>
      </c>
      <c r="O2050" s="656" t="s">
        <v>449</v>
      </c>
      <c r="P2050" s="656" t="s">
        <v>1176</v>
      </c>
      <c r="Q2050" s="657">
        <v>0</v>
      </c>
      <c r="R2050" s="657">
        <v>0</v>
      </c>
      <c r="S2050" s="657">
        <v>55657</v>
      </c>
      <c r="T2050" s="657">
        <v>55657</v>
      </c>
      <c r="U2050" s="657">
        <v>6294</v>
      </c>
      <c r="V2050" s="655">
        <v>2021</v>
      </c>
      <c r="W2050" s="659"/>
      <c r="X2050" s="660">
        <f t="shared" si="95"/>
        <v>8.8428662217985377</v>
      </c>
      <c r="Y2050" s="661" t="str">
        <f t="shared" si="93"/>
        <v/>
      </c>
      <c r="Z2050" s="661" t="str">
        <f t="shared" si="94"/>
        <v/>
      </c>
    </row>
    <row r="2051" spans="1:26" s="128" customFormat="1" ht="25" hidden="1">
      <c r="A2051" s="655">
        <v>63354</v>
      </c>
      <c r="B2051" s="656" t="s">
        <v>33</v>
      </c>
      <c r="C2051" s="655" t="s">
        <v>2793</v>
      </c>
      <c r="D2051" s="656" t="s">
        <v>3000</v>
      </c>
      <c r="E2051" s="656" t="s">
        <v>2495</v>
      </c>
      <c r="F2051" s="655">
        <v>62067</v>
      </c>
      <c r="G2051" s="656" t="s">
        <v>41</v>
      </c>
      <c r="H2051" s="656" t="s">
        <v>1183</v>
      </c>
      <c r="I2051" s="656" t="s">
        <v>58</v>
      </c>
      <c r="J2051" s="655">
        <v>22</v>
      </c>
      <c r="K2051" s="655">
        <v>2</v>
      </c>
      <c r="L2051" s="656" t="s">
        <v>52</v>
      </c>
      <c r="M2051" s="656" t="s">
        <v>448</v>
      </c>
      <c r="N2051" s="656" t="s">
        <v>449</v>
      </c>
      <c r="O2051" s="656" t="s">
        <v>449</v>
      </c>
      <c r="P2051" s="656" t="s">
        <v>1176</v>
      </c>
      <c r="Q2051" s="657">
        <v>0</v>
      </c>
      <c r="R2051" s="657">
        <v>0</v>
      </c>
      <c r="S2051" s="657">
        <v>13282</v>
      </c>
      <c r="T2051" s="657">
        <v>13282</v>
      </c>
      <c r="U2051" s="657">
        <v>1502</v>
      </c>
      <c r="V2051" s="655">
        <v>2021</v>
      </c>
      <c r="W2051" s="659"/>
      <c r="X2051" s="660">
        <f t="shared" si="95"/>
        <v>8.8428761651131822</v>
      </c>
      <c r="Y2051" s="661" t="str">
        <f t="shared" si="93"/>
        <v/>
      </c>
      <c r="Z2051" s="661" t="str">
        <f t="shared" si="94"/>
        <v/>
      </c>
    </row>
    <row r="2052" spans="1:26" s="128" customFormat="1" ht="25" hidden="1">
      <c r="A2052" s="655">
        <v>63358</v>
      </c>
      <c r="B2052" s="656" t="s">
        <v>33</v>
      </c>
      <c r="C2052" s="655" t="s">
        <v>2793</v>
      </c>
      <c r="D2052" s="656" t="s">
        <v>3001</v>
      </c>
      <c r="E2052" s="656" t="s">
        <v>2495</v>
      </c>
      <c r="F2052" s="655">
        <v>62067</v>
      </c>
      <c r="G2052" s="656" t="s">
        <v>41</v>
      </c>
      <c r="H2052" s="656" t="s">
        <v>1183</v>
      </c>
      <c r="I2052" s="656" t="s">
        <v>58</v>
      </c>
      <c r="J2052" s="655">
        <v>22</v>
      </c>
      <c r="K2052" s="655">
        <v>2</v>
      </c>
      <c r="L2052" s="656" t="s">
        <v>52</v>
      </c>
      <c r="M2052" s="656" t="s">
        <v>448</v>
      </c>
      <c r="N2052" s="656" t="s">
        <v>449</v>
      </c>
      <c r="O2052" s="656" t="s">
        <v>449</v>
      </c>
      <c r="P2052" s="656" t="s">
        <v>1176</v>
      </c>
      <c r="Q2052" s="657">
        <v>0</v>
      </c>
      <c r="R2052" s="657">
        <v>0</v>
      </c>
      <c r="S2052" s="657">
        <v>15033</v>
      </c>
      <c r="T2052" s="657">
        <v>15033</v>
      </c>
      <c r="U2052" s="657">
        <v>1700</v>
      </c>
      <c r="V2052" s="655">
        <v>2021</v>
      </c>
      <c r="W2052" s="659"/>
      <c r="X2052" s="660">
        <f t="shared" si="95"/>
        <v>8.842941176470589</v>
      </c>
      <c r="Y2052" s="661" t="str">
        <f t="shared" si="93"/>
        <v/>
      </c>
      <c r="Z2052" s="661" t="str">
        <f t="shared" si="94"/>
        <v/>
      </c>
    </row>
    <row r="2053" spans="1:26" s="128" customFormat="1" ht="25" hidden="1">
      <c r="A2053" s="655">
        <v>63368</v>
      </c>
      <c r="B2053" s="656" t="s">
        <v>33</v>
      </c>
      <c r="C2053" s="655" t="s">
        <v>2793</v>
      </c>
      <c r="D2053" s="656" t="s">
        <v>3002</v>
      </c>
      <c r="E2053" s="656" t="s">
        <v>2934</v>
      </c>
      <c r="F2053" s="655">
        <v>62719</v>
      </c>
      <c r="G2053" s="656" t="s">
        <v>89</v>
      </c>
      <c r="H2053" s="656" t="s">
        <v>1183</v>
      </c>
      <c r="I2053" s="656" t="s">
        <v>58</v>
      </c>
      <c r="J2053" s="655">
        <v>22</v>
      </c>
      <c r="K2053" s="655">
        <v>2</v>
      </c>
      <c r="L2053" s="656" t="s">
        <v>52</v>
      </c>
      <c r="M2053" s="656" t="s">
        <v>448</v>
      </c>
      <c r="N2053" s="656" t="s">
        <v>449</v>
      </c>
      <c r="O2053" s="656" t="s">
        <v>449</v>
      </c>
      <c r="P2053" s="656" t="s">
        <v>1176</v>
      </c>
      <c r="Q2053" s="657">
        <v>0</v>
      </c>
      <c r="R2053" s="657">
        <v>0</v>
      </c>
      <c r="S2053" s="657">
        <v>27653</v>
      </c>
      <c r="T2053" s="657">
        <v>27653</v>
      </c>
      <c r="U2053" s="657">
        <v>3127</v>
      </c>
      <c r="V2053" s="655">
        <v>2021</v>
      </c>
      <c r="W2053" s="659"/>
      <c r="X2053" s="660">
        <f t="shared" si="95"/>
        <v>8.8433002878157971</v>
      </c>
      <c r="Y2053" s="661" t="str">
        <f t="shared" si="93"/>
        <v/>
      </c>
      <c r="Z2053" s="661" t="str">
        <f t="shared" si="94"/>
        <v/>
      </c>
    </row>
    <row r="2054" spans="1:26" s="128" customFormat="1" ht="25" hidden="1">
      <c r="A2054" s="655">
        <v>63369</v>
      </c>
      <c r="B2054" s="656" t="s">
        <v>33</v>
      </c>
      <c r="C2054" s="655" t="s">
        <v>2793</v>
      </c>
      <c r="D2054" s="656" t="s">
        <v>3003</v>
      </c>
      <c r="E2054" s="656" t="s">
        <v>2934</v>
      </c>
      <c r="F2054" s="655">
        <v>62719</v>
      </c>
      <c r="G2054" s="656" t="s">
        <v>57</v>
      </c>
      <c r="H2054" s="656" t="s">
        <v>1182</v>
      </c>
      <c r="I2054" s="656" t="s">
        <v>58</v>
      </c>
      <c r="J2054" s="655">
        <v>22</v>
      </c>
      <c r="K2054" s="655">
        <v>2</v>
      </c>
      <c r="L2054" s="656" t="s">
        <v>52</v>
      </c>
      <c r="M2054" s="656" t="s">
        <v>448</v>
      </c>
      <c r="N2054" s="656" t="s">
        <v>449</v>
      </c>
      <c r="O2054" s="656" t="s">
        <v>449</v>
      </c>
      <c r="P2054" s="656" t="s">
        <v>1176</v>
      </c>
      <c r="Q2054" s="657">
        <v>0</v>
      </c>
      <c r="R2054" s="657">
        <v>0</v>
      </c>
      <c r="S2054" s="657">
        <v>57965</v>
      </c>
      <c r="T2054" s="657">
        <v>57965</v>
      </c>
      <c r="U2054" s="657">
        <v>6555</v>
      </c>
      <c r="V2054" s="655">
        <v>2021</v>
      </c>
      <c r="W2054" s="659"/>
      <c r="X2054" s="660">
        <f t="shared" si="95"/>
        <v>8.8428680396643777</v>
      </c>
      <c r="Y2054" s="661" t="str">
        <f t="shared" si="93"/>
        <v/>
      </c>
      <c r="Z2054" s="661" t="str">
        <f t="shared" si="94"/>
        <v/>
      </c>
    </row>
    <row r="2055" spans="1:26" s="128" customFormat="1" ht="25" hidden="1">
      <c r="A2055" s="655">
        <v>63371</v>
      </c>
      <c r="B2055" s="656" t="s">
        <v>33</v>
      </c>
      <c r="C2055" s="655" t="s">
        <v>2793</v>
      </c>
      <c r="D2055" s="656" t="s">
        <v>3004</v>
      </c>
      <c r="E2055" s="656" t="s">
        <v>2934</v>
      </c>
      <c r="F2055" s="655">
        <v>62719</v>
      </c>
      <c r="G2055" s="656" t="s">
        <v>57</v>
      </c>
      <c r="H2055" s="656" t="s">
        <v>1182</v>
      </c>
      <c r="I2055" s="656" t="s">
        <v>58</v>
      </c>
      <c r="J2055" s="655">
        <v>22</v>
      </c>
      <c r="K2055" s="655">
        <v>2</v>
      </c>
      <c r="L2055" s="656" t="s">
        <v>52</v>
      </c>
      <c r="M2055" s="656" t="s">
        <v>448</v>
      </c>
      <c r="N2055" s="656" t="s">
        <v>449</v>
      </c>
      <c r="O2055" s="656" t="s">
        <v>449</v>
      </c>
      <c r="P2055" s="656" t="s">
        <v>1176</v>
      </c>
      <c r="Q2055" s="657">
        <v>0</v>
      </c>
      <c r="R2055" s="657">
        <v>0</v>
      </c>
      <c r="S2055" s="657">
        <v>27759</v>
      </c>
      <c r="T2055" s="657">
        <v>27759</v>
      </c>
      <c r="U2055" s="657">
        <v>3139</v>
      </c>
      <c r="V2055" s="655">
        <v>2021</v>
      </c>
      <c r="W2055" s="659"/>
      <c r="X2055" s="660">
        <f t="shared" si="95"/>
        <v>8.8432621854093654</v>
      </c>
      <c r="Y2055" s="661" t="str">
        <f t="shared" ref="Y2055:Y2118" si="96">IF(AND($M2055=$Y$2,$N2055=$Y$3,NOT($Q2055=$R2055),NOT($U2055=0)),IF($K2055=5,$S2055/($U2055+(8/5)*$U2055),IF($K2055=7,$S2055/($U2055+(29/25)*$U2055),"")),"")</f>
        <v/>
      </c>
      <c r="Z2055" s="661" t="str">
        <f t="shared" ref="Z2055:Z2118" si="97">IF(AND($M2055=$Y$2,$N2055=$Y$4,NOT($Q2055=$R2055),NOT($U2055=0)),IF($K2055=5,$S2055/($U2055+(8/5)*$U2055),IF($K2055=7,$S2055/($U2055+(29/25)*$U2055),"")),"")</f>
        <v/>
      </c>
    </row>
    <row r="2056" spans="1:26" s="128" customFormat="1" ht="25" hidden="1">
      <c r="A2056" s="655">
        <v>63372</v>
      </c>
      <c r="B2056" s="656" t="s">
        <v>33</v>
      </c>
      <c r="C2056" s="655" t="s">
        <v>2793</v>
      </c>
      <c r="D2056" s="656" t="s">
        <v>3005</v>
      </c>
      <c r="E2056" s="656" t="s">
        <v>2934</v>
      </c>
      <c r="F2056" s="655">
        <v>62719</v>
      </c>
      <c r="G2056" s="656" t="s">
        <v>57</v>
      </c>
      <c r="H2056" s="656" t="s">
        <v>1182</v>
      </c>
      <c r="I2056" s="656" t="s">
        <v>58</v>
      </c>
      <c r="J2056" s="655">
        <v>22</v>
      </c>
      <c r="K2056" s="655">
        <v>2</v>
      </c>
      <c r="L2056" s="656" t="s">
        <v>52</v>
      </c>
      <c r="M2056" s="656" t="s">
        <v>448</v>
      </c>
      <c r="N2056" s="656" t="s">
        <v>449</v>
      </c>
      <c r="O2056" s="656" t="s">
        <v>449</v>
      </c>
      <c r="P2056" s="656" t="s">
        <v>1176</v>
      </c>
      <c r="Q2056" s="657">
        <v>0</v>
      </c>
      <c r="R2056" s="657">
        <v>0</v>
      </c>
      <c r="S2056" s="657">
        <v>58930</v>
      </c>
      <c r="T2056" s="657">
        <v>58930</v>
      </c>
      <c r="U2056" s="657">
        <v>6664</v>
      </c>
      <c r="V2056" s="655">
        <v>2021</v>
      </c>
      <c r="W2056" s="659"/>
      <c r="X2056" s="660">
        <f t="shared" ref="X2056:X2119" si="98">IF(OR(K2056&gt;3,T2056=0,NOT(U2056&gt;0)),"",T2056/U2056)</f>
        <v>8.8430372148859551</v>
      </c>
      <c r="Y2056" s="661" t="str">
        <f t="shared" si="96"/>
        <v/>
      </c>
      <c r="Z2056" s="661" t="str">
        <f t="shared" si="97"/>
        <v/>
      </c>
    </row>
    <row r="2057" spans="1:26" s="128" customFormat="1" ht="25" hidden="1">
      <c r="A2057" s="655">
        <v>63373</v>
      </c>
      <c r="B2057" s="656" t="s">
        <v>33</v>
      </c>
      <c r="C2057" s="655" t="s">
        <v>2793</v>
      </c>
      <c r="D2057" s="656" t="s">
        <v>3006</v>
      </c>
      <c r="E2057" s="656" t="s">
        <v>2934</v>
      </c>
      <c r="F2057" s="655">
        <v>62719</v>
      </c>
      <c r="G2057" s="656" t="s">
        <v>57</v>
      </c>
      <c r="H2057" s="656" t="s">
        <v>1182</v>
      </c>
      <c r="I2057" s="656" t="s">
        <v>58</v>
      </c>
      <c r="J2057" s="655">
        <v>22</v>
      </c>
      <c r="K2057" s="655">
        <v>2</v>
      </c>
      <c r="L2057" s="656" t="s">
        <v>52</v>
      </c>
      <c r="M2057" s="656" t="s">
        <v>448</v>
      </c>
      <c r="N2057" s="656" t="s">
        <v>449</v>
      </c>
      <c r="O2057" s="656" t="s">
        <v>449</v>
      </c>
      <c r="P2057" s="656" t="s">
        <v>1176</v>
      </c>
      <c r="Q2057" s="657">
        <v>0</v>
      </c>
      <c r="R2057" s="657">
        <v>0</v>
      </c>
      <c r="S2057" s="657">
        <v>67950</v>
      </c>
      <c r="T2057" s="657">
        <v>67950</v>
      </c>
      <c r="U2057" s="657">
        <v>7684</v>
      </c>
      <c r="V2057" s="655">
        <v>2021</v>
      </c>
      <c r="W2057" s="659"/>
      <c r="X2057" s="660">
        <f t="shared" si="98"/>
        <v>8.8430504945340971</v>
      </c>
      <c r="Y2057" s="661" t="str">
        <f t="shared" si="96"/>
        <v/>
      </c>
      <c r="Z2057" s="661" t="str">
        <f t="shared" si="97"/>
        <v/>
      </c>
    </row>
    <row r="2058" spans="1:26" s="128" customFormat="1" ht="25" hidden="1">
      <c r="A2058" s="655">
        <v>63374</v>
      </c>
      <c r="B2058" s="656" t="s">
        <v>33</v>
      </c>
      <c r="C2058" s="655" t="s">
        <v>2793</v>
      </c>
      <c r="D2058" s="656" t="s">
        <v>3007</v>
      </c>
      <c r="E2058" s="656" t="s">
        <v>2934</v>
      </c>
      <c r="F2058" s="655">
        <v>62719</v>
      </c>
      <c r="G2058" s="656" t="s">
        <v>41</v>
      </c>
      <c r="H2058" s="656" t="s">
        <v>1183</v>
      </c>
      <c r="I2058" s="656" t="s">
        <v>58</v>
      </c>
      <c r="J2058" s="655">
        <v>22</v>
      </c>
      <c r="K2058" s="655">
        <v>2</v>
      </c>
      <c r="L2058" s="656" t="s">
        <v>52</v>
      </c>
      <c r="M2058" s="656" t="s">
        <v>448</v>
      </c>
      <c r="N2058" s="656" t="s">
        <v>449</v>
      </c>
      <c r="O2058" s="656" t="s">
        <v>449</v>
      </c>
      <c r="P2058" s="656" t="s">
        <v>1176</v>
      </c>
      <c r="Q2058" s="657">
        <v>0</v>
      </c>
      <c r="R2058" s="657">
        <v>0</v>
      </c>
      <c r="S2058" s="657">
        <v>14786</v>
      </c>
      <c r="T2058" s="657">
        <v>14786</v>
      </c>
      <c r="U2058" s="657">
        <v>1672</v>
      </c>
      <c r="V2058" s="655">
        <v>2021</v>
      </c>
      <c r="W2058" s="659"/>
      <c r="X2058" s="660">
        <f t="shared" si="98"/>
        <v>8.8433014354066994</v>
      </c>
      <c r="Y2058" s="661" t="str">
        <f t="shared" si="96"/>
        <v/>
      </c>
      <c r="Z2058" s="661" t="str">
        <f t="shared" si="97"/>
        <v/>
      </c>
    </row>
    <row r="2059" spans="1:26" s="128" customFormat="1" ht="25" hidden="1">
      <c r="A2059" s="655">
        <v>63375</v>
      </c>
      <c r="B2059" s="656" t="s">
        <v>33</v>
      </c>
      <c r="C2059" s="655" t="s">
        <v>2793</v>
      </c>
      <c r="D2059" s="656" t="s">
        <v>3008</v>
      </c>
      <c r="E2059" s="656" t="s">
        <v>2934</v>
      </c>
      <c r="F2059" s="655">
        <v>62719</v>
      </c>
      <c r="G2059" s="656" t="s">
        <v>41</v>
      </c>
      <c r="H2059" s="656" t="s">
        <v>1183</v>
      </c>
      <c r="I2059" s="656" t="s">
        <v>58</v>
      </c>
      <c r="J2059" s="655">
        <v>22</v>
      </c>
      <c r="K2059" s="655">
        <v>2</v>
      </c>
      <c r="L2059" s="656" t="s">
        <v>52</v>
      </c>
      <c r="M2059" s="656" t="s">
        <v>448</v>
      </c>
      <c r="N2059" s="656" t="s">
        <v>449</v>
      </c>
      <c r="O2059" s="656" t="s">
        <v>449</v>
      </c>
      <c r="P2059" s="656" t="s">
        <v>1176</v>
      </c>
      <c r="Q2059" s="657">
        <v>0</v>
      </c>
      <c r="R2059" s="657">
        <v>0</v>
      </c>
      <c r="S2059" s="657">
        <v>14749</v>
      </c>
      <c r="T2059" s="657">
        <v>14749</v>
      </c>
      <c r="U2059" s="657">
        <v>1668</v>
      </c>
      <c r="V2059" s="655">
        <v>2021</v>
      </c>
      <c r="W2059" s="659"/>
      <c r="X2059" s="660">
        <f t="shared" si="98"/>
        <v>8.8423261390887298</v>
      </c>
      <c r="Y2059" s="661" t="str">
        <f t="shared" si="96"/>
        <v/>
      </c>
      <c r="Z2059" s="661" t="str">
        <f t="shared" si="97"/>
        <v/>
      </c>
    </row>
    <row r="2060" spans="1:26" s="128" customFormat="1" ht="25">
      <c r="A2060" s="655">
        <v>63398</v>
      </c>
      <c r="B2060" s="656" t="s">
        <v>33</v>
      </c>
      <c r="C2060" s="655" t="s">
        <v>2793</v>
      </c>
      <c r="D2060" s="656" t="s">
        <v>3009</v>
      </c>
      <c r="E2060" s="656" t="s">
        <v>3010</v>
      </c>
      <c r="F2060" s="655">
        <v>63163</v>
      </c>
      <c r="G2060" s="656" t="s">
        <v>81</v>
      </c>
      <c r="H2060" s="656" t="s">
        <v>1183</v>
      </c>
      <c r="I2060" s="656" t="s">
        <v>58</v>
      </c>
      <c r="J2060" s="655">
        <v>22</v>
      </c>
      <c r="K2060" s="655">
        <v>2</v>
      </c>
      <c r="L2060" s="656" t="s">
        <v>52</v>
      </c>
      <c r="M2060" s="656" t="s">
        <v>1890</v>
      </c>
      <c r="N2060" s="656" t="s">
        <v>1052</v>
      </c>
      <c r="O2060" s="656" t="s">
        <v>82</v>
      </c>
      <c r="P2060" s="656" t="s">
        <v>2794</v>
      </c>
      <c r="Q2060" s="657">
        <v>0</v>
      </c>
      <c r="R2060" s="657">
        <v>0</v>
      </c>
      <c r="S2060" s="657">
        <v>0</v>
      </c>
      <c r="T2060" s="657">
        <v>0</v>
      </c>
      <c r="U2060" s="657">
        <v>0</v>
      </c>
      <c r="V2060" s="655">
        <v>2021</v>
      </c>
      <c r="W2060" s="659"/>
      <c r="X2060" s="660" t="str">
        <f t="shared" si="98"/>
        <v/>
      </c>
      <c r="Y2060" s="661" t="str">
        <f t="shared" si="96"/>
        <v/>
      </c>
      <c r="Z2060" s="661" t="str">
        <f t="shared" si="97"/>
        <v/>
      </c>
    </row>
    <row r="2061" spans="1:26" s="128" customFormat="1" ht="25">
      <c r="A2061" s="655">
        <v>63398</v>
      </c>
      <c r="B2061" s="656" t="s">
        <v>33</v>
      </c>
      <c r="C2061" s="655" t="s">
        <v>2793</v>
      </c>
      <c r="D2061" s="656" t="s">
        <v>3009</v>
      </c>
      <c r="E2061" s="656" t="s">
        <v>3010</v>
      </c>
      <c r="F2061" s="655">
        <v>63163</v>
      </c>
      <c r="G2061" s="656" t="s">
        <v>81</v>
      </c>
      <c r="H2061" s="656" t="s">
        <v>1183</v>
      </c>
      <c r="I2061" s="656" t="s">
        <v>58</v>
      </c>
      <c r="J2061" s="655">
        <v>22</v>
      </c>
      <c r="K2061" s="655">
        <v>2</v>
      </c>
      <c r="L2061" s="656" t="s">
        <v>52</v>
      </c>
      <c r="M2061" s="656" t="s">
        <v>448</v>
      </c>
      <c r="N2061" s="656" t="s">
        <v>449</v>
      </c>
      <c r="O2061" s="656" t="s">
        <v>449</v>
      </c>
      <c r="P2061" s="656" t="s">
        <v>1176</v>
      </c>
      <c r="Q2061" s="657">
        <v>0</v>
      </c>
      <c r="R2061" s="657">
        <v>0</v>
      </c>
      <c r="S2061" s="657">
        <v>48292</v>
      </c>
      <c r="T2061" s="657">
        <v>48292</v>
      </c>
      <c r="U2061" s="657">
        <v>5461</v>
      </c>
      <c r="V2061" s="655">
        <v>2021</v>
      </c>
      <c r="W2061" s="659"/>
      <c r="X2061" s="660">
        <f t="shared" si="98"/>
        <v>8.8430690349752794</v>
      </c>
      <c r="Y2061" s="661" t="str">
        <f t="shared" si="96"/>
        <v/>
      </c>
      <c r="Z2061" s="661" t="str">
        <f t="shared" si="97"/>
        <v/>
      </c>
    </row>
    <row r="2062" spans="1:26" s="128" customFormat="1" hidden="1">
      <c r="A2062" s="655">
        <v>63405</v>
      </c>
      <c r="B2062" s="656" t="s">
        <v>33</v>
      </c>
      <c r="C2062" s="655" t="s">
        <v>2793</v>
      </c>
      <c r="D2062" s="656" t="s">
        <v>3011</v>
      </c>
      <c r="E2062" s="656" t="s">
        <v>2247</v>
      </c>
      <c r="F2062" s="655">
        <v>61227</v>
      </c>
      <c r="G2062" s="656" t="s">
        <v>57</v>
      </c>
      <c r="H2062" s="656" t="s">
        <v>1182</v>
      </c>
      <c r="I2062" s="656" t="s">
        <v>58</v>
      </c>
      <c r="J2062" s="655">
        <v>22</v>
      </c>
      <c r="K2062" s="655">
        <v>2</v>
      </c>
      <c r="L2062" s="656" t="s">
        <v>52</v>
      </c>
      <c r="M2062" s="656" t="s">
        <v>448</v>
      </c>
      <c r="N2062" s="656" t="s">
        <v>449</v>
      </c>
      <c r="O2062" s="656" t="s">
        <v>449</v>
      </c>
      <c r="P2062" s="656" t="s">
        <v>1176</v>
      </c>
      <c r="Q2062" s="657">
        <v>0</v>
      </c>
      <c r="R2062" s="657">
        <v>0</v>
      </c>
      <c r="S2062" s="657">
        <v>28730</v>
      </c>
      <c r="T2062" s="657">
        <v>28730</v>
      </c>
      <c r="U2062" s="657">
        <v>3249</v>
      </c>
      <c r="V2062" s="655">
        <v>2021</v>
      </c>
      <c r="W2062" s="659"/>
      <c r="X2062" s="660">
        <f t="shared" si="98"/>
        <v>8.8427208371806714</v>
      </c>
      <c r="Y2062" s="661" t="str">
        <f t="shared" si="96"/>
        <v/>
      </c>
      <c r="Z2062" s="661" t="str">
        <f t="shared" si="97"/>
        <v/>
      </c>
    </row>
    <row r="2063" spans="1:26" s="128" customFormat="1" hidden="1">
      <c r="A2063" s="655">
        <v>63407</v>
      </c>
      <c r="B2063" s="656" t="s">
        <v>33</v>
      </c>
      <c r="C2063" s="655" t="s">
        <v>2793</v>
      </c>
      <c r="D2063" s="656" t="s">
        <v>3012</v>
      </c>
      <c r="E2063" s="656" t="s">
        <v>3195</v>
      </c>
      <c r="F2063" s="655">
        <v>62923</v>
      </c>
      <c r="G2063" s="656" t="s">
        <v>57</v>
      </c>
      <c r="H2063" s="656" t="s">
        <v>1182</v>
      </c>
      <c r="I2063" s="656" t="s">
        <v>58</v>
      </c>
      <c r="J2063" s="655">
        <v>22</v>
      </c>
      <c r="K2063" s="655">
        <v>2</v>
      </c>
      <c r="L2063" s="656" t="s">
        <v>52</v>
      </c>
      <c r="M2063" s="656" t="s">
        <v>448</v>
      </c>
      <c r="N2063" s="656" t="s">
        <v>449</v>
      </c>
      <c r="O2063" s="656" t="s">
        <v>449</v>
      </c>
      <c r="P2063" s="656" t="s">
        <v>1176</v>
      </c>
      <c r="Q2063" s="657">
        <v>0</v>
      </c>
      <c r="R2063" s="657">
        <v>0</v>
      </c>
      <c r="S2063" s="657">
        <v>23699</v>
      </c>
      <c r="T2063" s="657">
        <v>23699</v>
      </c>
      <c r="U2063" s="657">
        <v>2680</v>
      </c>
      <c r="V2063" s="655">
        <v>2021</v>
      </c>
      <c r="W2063" s="659"/>
      <c r="X2063" s="660">
        <f t="shared" si="98"/>
        <v>8.8429104477611933</v>
      </c>
      <c r="Y2063" s="661" t="str">
        <f t="shared" si="96"/>
        <v/>
      </c>
      <c r="Z2063" s="661" t="str">
        <f t="shared" si="97"/>
        <v/>
      </c>
    </row>
    <row r="2064" spans="1:26" s="128" customFormat="1" hidden="1">
      <c r="A2064" s="655">
        <v>63408</v>
      </c>
      <c r="B2064" s="656" t="s">
        <v>33</v>
      </c>
      <c r="C2064" s="655" t="s">
        <v>2793</v>
      </c>
      <c r="D2064" s="656" t="s">
        <v>3013</v>
      </c>
      <c r="E2064" s="656" t="s">
        <v>3195</v>
      </c>
      <c r="F2064" s="655">
        <v>62923</v>
      </c>
      <c r="G2064" s="656" t="s">
        <v>57</v>
      </c>
      <c r="H2064" s="656" t="s">
        <v>1182</v>
      </c>
      <c r="I2064" s="656" t="s">
        <v>58</v>
      </c>
      <c r="J2064" s="655">
        <v>22</v>
      </c>
      <c r="K2064" s="655">
        <v>2</v>
      </c>
      <c r="L2064" s="656" t="s">
        <v>52</v>
      </c>
      <c r="M2064" s="656" t="s">
        <v>448</v>
      </c>
      <c r="N2064" s="656" t="s">
        <v>449</v>
      </c>
      <c r="O2064" s="656" t="s">
        <v>449</v>
      </c>
      <c r="P2064" s="656" t="s">
        <v>1176</v>
      </c>
      <c r="Q2064" s="657">
        <v>0</v>
      </c>
      <c r="R2064" s="657">
        <v>0</v>
      </c>
      <c r="S2064" s="657">
        <v>19924</v>
      </c>
      <c r="T2064" s="657">
        <v>19924</v>
      </c>
      <c r="U2064" s="657">
        <v>2253</v>
      </c>
      <c r="V2064" s="655">
        <v>2021</v>
      </c>
      <c r="W2064" s="659"/>
      <c r="X2064" s="660">
        <f t="shared" si="98"/>
        <v>8.843320017754106</v>
      </c>
      <c r="Y2064" s="661" t="str">
        <f t="shared" si="96"/>
        <v/>
      </c>
      <c r="Z2064" s="661" t="str">
        <f t="shared" si="97"/>
        <v/>
      </c>
    </row>
    <row r="2065" spans="1:26" s="128" customFormat="1" hidden="1">
      <c r="A2065" s="655">
        <v>63409</v>
      </c>
      <c r="B2065" s="656" t="s">
        <v>33</v>
      </c>
      <c r="C2065" s="655" t="s">
        <v>2793</v>
      </c>
      <c r="D2065" s="656" t="s">
        <v>3014</v>
      </c>
      <c r="E2065" s="656" t="s">
        <v>3195</v>
      </c>
      <c r="F2065" s="655">
        <v>62923</v>
      </c>
      <c r="G2065" s="656" t="s">
        <v>57</v>
      </c>
      <c r="H2065" s="656" t="s">
        <v>1182</v>
      </c>
      <c r="I2065" s="656" t="s">
        <v>58</v>
      </c>
      <c r="J2065" s="655">
        <v>22</v>
      </c>
      <c r="K2065" s="655">
        <v>2</v>
      </c>
      <c r="L2065" s="656" t="s">
        <v>52</v>
      </c>
      <c r="M2065" s="656" t="s">
        <v>448</v>
      </c>
      <c r="N2065" s="656" t="s">
        <v>449</v>
      </c>
      <c r="O2065" s="656" t="s">
        <v>449</v>
      </c>
      <c r="P2065" s="656" t="s">
        <v>1176</v>
      </c>
      <c r="Q2065" s="657">
        <v>0</v>
      </c>
      <c r="R2065" s="657">
        <v>0</v>
      </c>
      <c r="S2065" s="657">
        <v>19632</v>
      </c>
      <c r="T2065" s="657">
        <v>19632</v>
      </c>
      <c r="U2065" s="657">
        <v>2220</v>
      </c>
      <c r="V2065" s="655">
        <v>2021</v>
      </c>
      <c r="W2065" s="659"/>
      <c r="X2065" s="660">
        <f t="shared" si="98"/>
        <v>8.8432432432432435</v>
      </c>
      <c r="Y2065" s="661" t="str">
        <f t="shared" si="96"/>
        <v/>
      </c>
      <c r="Z2065" s="661" t="str">
        <f t="shared" si="97"/>
        <v/>
      </c>
    </row>
    <row r="2066" spans="1:26" s="128" customFormat="1" hidden="1">
      <c r="A2066" s="655">
        <v>63410</v>
      </c>
      <c r="B2066" s="656" t="s">
        <v>33</v>
      </c>
      <c r="C2066" s="655" t="s">
        <v>2793</v>
      </c>
      <c r="D2066" s="656" t="s">
        <v>3015</v>
      </c>
      <c r="E2066" s="656" t="s">
        <v>3195</v>
      </c>
      <c r="F2066" s="655">
        <v>62923</v>
      </c>
      <c r="G2066" s="656" t="s">
        <v>57</v>
      </c>
      <c r="H2066" s="656" t="s">
        <v>1182</v>
      </c>
      <c r="I2066" s="656" t="s">
        <v>58</v>
      </c>
      <c r="J2066" s="655">
        <v>22</v>
      </c>
      <c r="K2066" s="655">
        <v>2</v>
      </c>
      <c r="L2066" s="656" t="s">
        <v>52</v>
      </c>
      <c r="M2066" s="656" t="s">
        <v>448</v>
      </c>
      <c r="N2066" s="656" t="s">
        <v>449</v>
      </c>
      <c r="O2066" s="656" t="s">
        <v>449</v>
      </c>
      <c r="P2066" s="656" t="s">
        <v>1176</v>
      </c>
      <c r="Q2066" s="657">
        <v>0</v>
      </c>
      <c r="R2066" s="657">
        <v>0</v>
      </c>
      <c r="S2066" s="657">
        <v>14775</v>
      </c>
      <c r="T2066" s="657">
        <v>14775</v>
      </c>
      <c r="U2066" s="657">
        <v>1671</v>
      </c>
      <c r="V2066" s="655">
        <v>2021</v>
      </c>
      <c r="W2066" s="659"/>
      <c r="X2066" s="660">
        <f t="shared" si="98"/>
        <v>8.8420107719928183</v>
      </c>
      <c r="Y2066" s="661" t="str">
        <f t="shared" si="96"/>
        <v/>
      </c>
      <c r="Z2066" s="661" t="str">
        <f t="shared" si="97"/>
        <v/>
      </c>
    </row>
    <row r="2067" spans="1:26" s="128" customFormat="1" ht="25" hidden="1">
      <c r="A2067" s="655">
        <v>63411</v>
      </c>
      <c r="B2067" s="656" t="s">
        <v>33</v>
      </c>
      <c r="C2067" s="655" t="s">
        <v>2793</v>
      </c>
      <c r="D2067" s="656" t="s">
        <v>3196</v>
      </c>
      <c r="E2067" s="656" t="s">
        <v>2210</v>
      </c>
      <c r="F2067" s="655">
        <v>61012</v>
      </c>
      <c r="G2067" s="656" t="s">
        <v>57</v>
      </c>
      <c r="H2067" s="656" t="s">
        <v>1182</v>
      </c>
      <c r="I2067" s="656" t="s">
        <v>58</v>
      </c>
      <c r="J2067" s="655">
        <v>22</v>
      </c>
      <c r="K2067" s="655">
        <v>2</v>
      </c>
      <c r="L2067" s="656" t="s">
        <v>52</v>
      </c>
      <c r="M2067" s="656" t="s">
        <v>448</v>
      </c>
      <c r="N2067" s="656" t="s">
        <v>449</v>
      </c>
      <c r="O2067" s="656" t="s">
        <v>449</v>
      </c>
      <c r="P2067" s="656" t="s">
        <v>1176</v>
      </c>
      <c r="Q2067" s="657">
        <v>0</v>
      </c>
      <c r="R2067" s="657">
        <v>0</v>
      </c>
      <c r="S2067" s="657">
        <v>72585</v>
      </c>
      <c r="T2067" s="657">
        <v>72585</v>
      </c>
      <c r="U2067" s="657">
        <v>8208</v>
      </c>
      <c r="V2067" s="655">
        <v>2021</v>
      </c>
      <c r="W2067" s="659"/>
      <c r="X2067" s="660">
        <f t="shared" si="98"/>
        <v>8.8432017543859658</v>
      </c>
      <c r="Y2067" s="661" t="str">
        <f t="shared" si="96"/>
        <v/>
      </c>
      <c r="Z2067" s="661" t="str">
        <f t="shared" si="97"/>
        <v/>
      </c>
    </row>
    <row r="2068" spans="1:26" s="128" customFormat="1" ht="25" hidden="1">
      <c r="A2068" s="655">
        <v>63415</v>
      </c>
      <c r="B2068" s="656" t="s">
        <v>33</v>
      </c>
      <c r="C2068" s="655" t="s">
        <v>2793</v>
      </c>
      <c r="D2068" s="656" t="s">
        <v>3197</v>
      </c>
      <c r="E2068" s="656" t="s">
        <v>2210</v>
      </c>
      <c r="F2068" s="655">
        <v>61012</v>
      </c>
      <c r="G2068" s="656" t="s">
        <v>57</v>
      </c>
      <c r="H2068" s="656" t="s">
        <v>1182</v>
      </c>
      <c r="I2068" s="656" t="s">
        <v>58</v>
      </c>
      <c r="J2068" s="655">
        <v>22</v>
      </c>
      <c r="K2068" s="655">
        <v>2</v>
      </c>
      <c r="L2068" s="656" t="s">
        <v>52</v>
      </c>
      <c r="M2068" s="656" t="s">
        <v>1890</v>
      </c>
      <c r="N2068" s="656" t="s">
        <v>1052</v>
      </c>
      <c r="O2068" s="656" t="s">
        <v>82</v>
      </c>
      <c r="P2068" s="656" t="s">
        <v>2794</v>
      </c>
      <c r="Q2068" s="657">
        <v>0</v>
      </c>
      <c r="R2068" s="657">
        <v>0</v>
      </c>
      <c r="S2068" s="657">
        <v>0</v>
      </c>
      <c r="T2068" s="657">
        <v>0</v>
      </c>
      <c r="U2068" s="657">
        <v>0</v>
      </c>
      <c r="V2068" s="655">
        <v>2021</v>
      </c>
      <c r="W2068" s="659"/>
      <c r="X2068" s="660" t="str">
        <f t="shared" si="98"/>
        <v/>
      </c>
      <c r="Y2068" s="661" t="str">
        <f t="shared" si="96"/>
        <v/>
      </c>
      <c r="Z2068" s="661" t="str">
        <f t="shared" si="97"/>
        <v/>
      </c>
    </row>
    <row r="2069" spans="1:26" s="128" customFormat="1" ht="25" hidden="1">
      <c r="A2069" s="655">
        <v>63415</v>
      </c>
      <c r="B2069" s="656" t="s">
        <v>33</v>
      </c>
      <c r="C2069" s="655" t="s">
        <v>2793</v>
      </c>
      <c r="D2069" s="656" t="s">
        <v>3197</v>
      </c>
      <c r="E2069" s="656" t="s">
        <v>2210</v>
      </c>
      <c r="F2069" s="655">
        <v>61012</v>
      </c>
      <c r="G2069" s="656" t="s">
        <v>57</v>
      </c>
      <c r="H2069" s="656" t="s">
        <v>1182</v>
      </c>
      <c r="I2069" s="656" t="s">
        <v>58</v>
      </c>
      <c r="J2069" s="655">
        <v>22</v>
      </c>
      <c r="K2069" s="655">
        <v>2</v>
      </c>
      <c r="L2069" s="656" t="s">
        <v>52</v>
      </c>
      <c r="M2069" s="656" t="s">
        <v>448</v>
      </c>
      <c r="N2069" s="656" t="s">
        <v>449</v>
      </c>
      <c r="O2069" s="656" t="s">
        <v>449</v>
      </c>
      <c r="P2069" s="656" t="s">
        <v>1176</v>
      </c>
      <c r="Q2069" s="657">
        <v>0</v>
      </c>
      <c r="R2069" s="657">
        <v>0</v>
      </c>
      <c r="S2069" s="657">
        <v>5843</v>
      </c>
      <c r="T2069" s="657">
        <v>5843</v>
      </c>
      <c r="U2069" s="657">
        <v>661</v>
      </c>
      <c r="V2069" s="655">
        <v>2021</v>
      </c>
      <c r="W2069" s="659"/>
      <c r="X2069" s="660">
        <f t="shared" si="98"/>
        <v>8.8396369137670199</v>
      </c>
      <c r="Y2069" s="661" t="str">
        <f t="shared" si="96"/>
        <v/>
      </c>
      <c r="Z2069" s="661" t="str">
        <f t="shared" si="97"/>
        <v/>
      </c>
    </row>
    <row r="2070" spans="1:26" s="128" customFormat="1" hidden="1">
      <c r="A2070" s="655">
        <v>63438</v>
      </c>
      <c r="B2070" s="656" t="s">
        <v>54</v>
      </c>
      <c r="C2070" s="655" t="s">
        <v>2793</v>
      </c>
      <c r="D2070" s="656" t="s">
        <v>3016</v>
      </c>
      <c r="E2070" s="656" t="s">
        <v>3017</v>
      </c>
      <c r="F2070" s="655">
        <v>61939</v>
      </c>
      <c r="G2070" s="656" t="s">
        <v>41</v>
      </c>
      <c r="H2070" s="656" t="s">
        <v>1183</v>
      </c>
      <c r="I2070" s="656" t="s">
        <v>58</v>
      </c>
      <c r="J2070" s="655">
        <v>22</v>
      </c>
      <c r="K2070" s="655">
        <v>3</v>
      </c>
      <c r="L2070" s="656" t="s">
        <v>55</v>
      </c>
      <c r="M2070" s="656" t="s">
        <v>1255</v>
      </c>
      <c r="N2070" s="656" t="s">
        <v>39</v>
      </c>
      <c r="O2070" s="656" t="s">
        <v>39</v>
      </c>
      <c r="P2070" s="656" t="s">
        <v>1037</v>
      </c>
      <c r="Q2070" s="657">
        <v>81078</v>
      </c>
      <c r="R2070" s="657">
        <v>81078</v>
      </c>
      <c r="S2070" s="657">
        <v>80430</v>
      </c>
      <c r="T2070" s="657">
        <v>80430</v>
      </c>
      <c r="U2070" s="657">
        <v>9237</v>
      </c>
      <c r="V2070" s="655">
        <v>2021</v>
      </c>
      <c r="W2070" s="659"/>
      <c r="X2070" s="660">
        <f t="shared" si="98"/>
        <v>8.7073725235466064</v>
      </c>
      <c r="Y2070" s="661" t="str">
        <f t="shared" si="96"/>
        <v/>
      </c>
      <c r="Z2070" s="661" t="str">
        <f t="shared" si="97"/>
        <v/>
      </c>
    </row>
    <row r="2071" spans="1:26" s="128" customFormat="1" ht="25" hidden="1">
      <c r="A2071" s="655">
        <v>63450</v>
      </c>
      <c r="B2071" s="656" t="s">
        <v>33</v>
      </c>
      <c r="C2071" s="655" t="s">
        <v>2793</v>
      </c>
      <c r="D2071" s="656" t="s">
        <v>3018</v>
      </c>
      <c r="E2071" s="656" t="s">
        <v>1657</v>
      </c>
      <c r="F2071" s="655">
        <v>58871</v>
      </c>
      <c r="G2071" s="656" t="s">
        <v>57</v>
      </c>
      <c r="H2071" s="656" t="s">
        <v>1182</v>
      </c>
      <c r="I2071" s="656" t="s">
        <v>58</v>
      </c>
      <c r="J2071" s="655">
        <v>22</v>
      </c>
      <c r="K2071" s="655">
        <v>2</v>
      </c>
      <c r="L2071" s="656" t="s">
        <v>52</v>
      </c>
      <c r="M2071" s="656" t="s">
        <v>448</v>
      </c>
      <c r="N2071" s="656" t="s">
        <v>449</v>
      </c>
      <c r="O2071" s="656" t="s">
        <v>449</v>
      </c>
      <c r="P2071" s="656" t="s">
        <v>1176</v>
      </c>
      <c r="Q2071" s="657">
        <v>0</v>
      </c>
      <c r="R2071" s="657">
        <v>0</v>
      </c>
      <c r="S2071" s="657">
        <v>58176</v>
      </c>
      <c r="T2071" s="657">
        <v>58176</v>
      </c>
      <c r="U2071" s="657">
        <v>6579</v>
      </c>
      <c r="V2071" s="655">
        <v>2021</v>
      </c>
      <c r="W2071" s="659"/>
      <c r="X2071" s="660">
        <f t="shared" si="98"/>
        <v>8.8426812585499324</v>
      </c>
      <c r="Y2071" s="661" t="str">
        <f t="shared" si="96"/>
        <v/>
      </c>
      <c r="Z2071" s="661" t="str">
        <f t="shared" si="97"/>
        <v/>
      </c>
    </row>
    <row r="2072" spans="1:26" s="128" customFormat="1" ht="25">
      <c r="A2072" s="655">
        <v>63468</v>
      </c>
      <c r="B2072" s="656" t="s">
        <v>33</v>
      </c>
      <c r="C2072" s="655" t="s">
        <v>2793</v>
      </c>
      <c r="D2072" s="656" t="s">
        <v>3198</v>
      </c>
      <c r="E2072" s="656" t="s">
        <v>2210</v>
      </c>
      <c r="F2072" s="655">
        <v>61012</v>
      </c>
      <c r="G2072" s="656" t="s">
        <v>81</v>
      </c>
      <c r="H2072" s="656" t="s">
        <v>1183</v>
      </c>
      <c r="I2072" s="656" t="s">
        <v>58</v>
      </c>
      <c r="J2072" s="655">
        <v>22</v>
      </c>
      <c r="K2072" s="655">
        <v>2</v>
      </c>
      <c r="L2072" s="656" t="s">
        <v>52</v>
      </c>
      <c r="M2072" s="656" t="s">
        <v>1890</v>
      </c>
      <c r="N2072" s="656" t="s">
        <v>1052</v>
      </c>
      <c r="O2072" s="656" t="s">
        <v>82</v>
      </c>
      <c r="P2072" s="656" t="s">
        <v>2794</v>
      </c>
      <c r="Q2072" s="657">
        <v>341</v>
      </c>
      <c r="R2072" s="657">
        <v>341</v>
      </c>
      <c r="S2072" s="657">
        <v>0</v>
      </c>
      <c r="T2072" s="657">
        <v>0</v>
      </c>
      <c r="U2072" s="657">
        <v>-67</v>
      </c>
      <c r="V2072" s="655">
        <v>2021</v>
      </c>
      <c r="W2072" s="659"/>
      <c r="X2072" s="660" t="str">
        <f t="shared" si="98"/>
        <v/>
      </c>
      <c r="Y2072" s="661" t="str">
        <f t="shared" si="96"/>
        <v/>
      </c>
      <c r="Z2072" s="661" t="str">
        <f t="shared" si="97"/>
        <v/>
      </c>
    </row>
    <row r="2073" spans="1:26" s="128" customFormat="1" ht="25">
      <c r="A2073" s="655">
        <v>63468</v>
      </c>
      <c r="B2073" s="656" t="s">
        <v>33</v>
      </c>
      <c r="C2073" s="655" t="s">
        <v>2793</v>
      </c>
      <c r="D2073" s="656" t="s">
        <v>3198</v>
      </c>
      <c r="E2073" s="656" t="s">
        <v>2210</v>
      </c>
      <c r="F2073" s="655">
        <v>61012</v>
      </c>
      <c r="G2073" s="656" t="s">
        <v>81</v>
      </c>
      <c r="H2073" s="656" t="s">
        <v>1183</v>
      </c>
      <c r="I2073" s="656" t="s">
        <v>58</v>
      </c>
      <c r="J2073" s="655">
        <v>22</v>
      </c>
      <c r="K2073" s="655">
        <v>2</v>
      </c>
      <c r="L2073" s="656" t="s">
        <v>52</v>
      </c>
      <c r="M2073" s="656" t="s">
        <v>448</v>
      </c>
      <c r="N2073" s="656" t="s">
        <v>449</v>
      </c>
      <c r="O2073" s="656" t="s">
        <v>449</v>
      </c>
      <c r="P2073" s="656" t="s">
        <v>1176</v>
      </c>
      <c r="Q2073" s="657">
        <v>0</v>
      </c>
      <c r="R2073" s="657">
        <v>0</v>
      </c>
      <c r="S2073" s="657">
        <v>28484</v>
      </c>
      <c r="T2073" s="657">
        <v>28484</v>
      </c>
      <c r="U2073" s="657">
        <v>3221</v>
      </c>
      <c r="V2073" s="655">
        <v>2021</v>
      </c>
      <c r="W2073" s="659"/>
      <c r="X2073" s="660">
        <f t="shared" si="98"/>
        <v>8.8432163924247131</v>
      </c>
      <c r="Y2073" s="661" t="str">
        <f t="shared" si="96"/>
        <v/>
      </c>
      <c r="Z2073" s="661" t="str">
        <f t="shared" si="97"/>
        <v/>
      </c>
    </row>
    <row r="2074" spans="1:26" s="128" customFormat="1" ht="25">
      <c r="A2074" s="655">
        <v>63469</v>
      </c>
      <c r="B2074" s="656" t="s">
        <v>33</v>
      </c>
      <c r="C2074" s="655" t="s">
        <v>2793</v>
      </c>
      <c r="D2074" s="656" t="s">
        <v>3199</v>
      </c>
      <c r="E2074" s="656" t="s">
        <v>2210</v>
      </c>
      <c r="F2074" s="655">
        <v>61012</v>
      </c>
      <c r="G2074" s="656" t="s">
        <v>81</v>
      </c>
      <c r="H2074" s="656" t="s">
        <v>1183</v>
      </c>
      <c r="I2074" s="656" t="s">
        <v>58</v>
      </c>
      <c r="J2074" s="655">
        <v>22</v>
      </c>
      <c r="K2074" s="655">
        <v>2</v>
      </c>
      <c r="L2074" s="656" t="s">
        <v>52</v>
      </c>
      <c r="M2074" s="656" t="s">
        <v>1890</v>
      </c>
      <c r="N2074" s="656" t="s">
        <v>1052</v>
      </c>
      <c r="O2074" s="656" t="s">
        <v>82</v>
      </c>
      <c r="P2074" s="656" t="s">
        <v>2794</v>
      </c>
      <c r="Q2074" s="657">
        <v>233</v>
      </c>
      <c r="R2074" s="657">
        <v>233</v>
      </c>
      <c r="S2074" s="657">
        <v>0</v>
      </c>
      <c r="T2074" s="657">
        <v>0</v>
      </c>
      <c r="U2074" s="657">
        <v>-29</v>
      </c>
      <c r="V2074" s="655">
        <v>2021</v>
      </c>
      <c r="W2074" s="659"/>
      <c r="X2074" s="660" t="str">
        <f t="shared" si="98"/>
        <v/>
      </c>
      <c r="Y2074" s="661" t="str">
        <f t="shared" si="96"/>
        <v/>
      </c>
      <c r="Z2074" s="661" t="str">
        <f t="shared" si="97"/>
        <v/>
      </c>
    </row>
    <row r="2075" spans="1:26" s="128" customFormat="1" ht="25">
      <c r="A2075" s="655">
        <v>63469</v>
      </c>
      <c r="B2075" s="656" t="s">
        <v>33</v>
      </c>
      <c r="C2075" s="655" t="s">
        <v>2793</v>
      </c>
      <c r="D2075" s="656" t="s">
        <v>3199</v>
      </c>
      <c r="E2075" s="656" t="s">
        <v>2210</v>
      </c>
      <c r="F2075" s="655">
        <v>61012</v>
      </c>
      <c r="G2075" s="656" t="s">
        <v>81</v>
      </c>
      <c r="H2075" s="656" t="s">
        <v>1183</v>
      </c>
      <c r="I2075" s="656" t="s">
        <v>58</v>
      </c>
      <c r="J2075" s="655">
        <v>22</v>
      </c>
      <c r="K2075" s="655">
        <v>2</v>
      </c>
      <c r="L2075" s="656" t="s">
        <v>52</v>
      </c>
      <c r="M2075" s="656" t="s">
        <v>448</v>
      </c>
      <c r="N2075" s="656" t="s">
        <v>449</v>
      </c>
      <c r="O2075" s="656" t="s">
        <v>449</v>
      </c>
      <c r="P2075" s="656" t="s">
        <v>1176</v>
      </c>
      <c r="Q2075" s="657">
        <v>0</v>
      </c>
      <c r="R2075" s="657">
        <v>0</v>
      </c>
      <c r="S2075" s="657">
        <v>26228</v>
      </c>
      <c r="T2075" s="657">
        <v>26228</v>
      </c>
      <c r="U2075" s="657">
        <v>2966</v>
      </c>
      <c r="V2075" s="655">
        <v>2021</v>
      </c>
      <c r="W2075" s="659"/>
      <c r="X2075" s="660">
        <f t="shared" si="98"/>
        <v>8.842886041807148</v>
      </c>
      <c r="Y2075" s="661" t="str">
        <f t="shared" si="96"/>
        <v/>
      </c>
      <c r="Z2075" s="661" t="str">
        <f t="shared" si="97"/>
        <v/>
      </c>
    </row>
    <row r="2076" spans="1:26" s="128" customFormat="1" ht="25">
      <c r="A2076" s="655">
        <v>63470</v>
      </c>
      <c r="B2076" s="656" t="s">
        <v>33</v>
      </c>
      <c r="C2076" s="655" t="s">
        <v>2793</v>
      </c>
      <c r="D2076" s="656" t="s">
        <v>3200</v>
      </c>
      <c r="E2076" s="656" t="s">
        <v>2210</v>
      </c>
      <c r="F2076" s="655">
        <v>61012</v>
      </c>
      <c r="G2076" s="656" t="s">
        <v>81</v>
      </c>
      <c r="H2076" s="656" t="s">
        <v>1183</v>
      </c>
      <c r="I2076" s="656" t="s">
        <v>58</v>
      </c>
      <c r="J2076" s="655">
        <v>22</v>
      </c>
      <c r="K2076" s="655">
        <v>2</v>
      </c>
      <c r="L2076" s="656" t="s">
        <v>52</v>
      </c>
      <c r="M2076" s="656" t="s">
        <v>1890</v>
      </c>
      <c r="N2076" s="656" t="s">
        <v>1052</v>
      </c>
      <c r="O2076" s="656" t="s">
        <v>82</v>
      </c>
      <c r="P2076" s="656" t="s">
        <v>2794</v>
      </c>
      <c r="Q2076" s="657">
        <v>741</v>
      </c>
      <c r="R2076" s="657">
        <v>741</v>
      </c>
      <c r="S2076" s="657">
        <v>0</v>
      </c>
      <c r="T2076" s="657">
        <v>0</v>
      </c>
      <c r="U2076" s="657">
        <v>-103</v>
      </c>
      <c r="V2076" s="655">
        <v>2021</v>
      </c>
      <c r="W2076" s="659"/>
      <c r="X2076" s="660" t="str">
        <f t="shared" si="98"/>
        <v/>
      </c>
      <c r="Y2076" s="661" t="str">
        <f t="shared" si="96"/>
        <v/>
      </c>
      <c r="Z2076" s="661" t="str">
        <f t="shared" si="97"/>
        <v/>
      </c>
    </row>
    <row r="2077" spans="1:26" s="128" customFormat="1" ht="25">
      <c r="A2077" s="655">
        <v>63470</v>
      </c>
      <c r="B2077" s="656" t="s">
        <v>33</v>
      </c>
      <c r="C2077" s="655" t="s">
        <v>2793</v>
      </c>
      <c r="D2077" s="656" t="s">
        <v>3200</v>
      </c>
      <c r="E2077" s="656" t="s">
        <v>2210</v>
      </c>
      <c r="F2077" s="655">
        <v>61012</v>
      </c>
      <c r="G2077" s="656" t="s">
        <v>81</v>
      </c>
      <c r="H2077" s="656" t="s">
        <v>1183</v>
      </c>
      <c r="I2077" s="656" t="s">
        <v>58</v>
      </c>
      <c r="J2077" s="655">
        <v>22</v>
      </c>
      <c r="K2077" s="655">
        <v>2</v>
      </c>
      <c r="L2077" s="656" t="s">
        <v>52</v>
      </c>
      <c r="M2077" s="656" t="s">
        <v>448</v>
      </c>
      <c r="N2077" s="656" t="s">
        <v>449</v>
      </c>
      <c r="O2077" s="656" t="s">
        <v>449</v>
      </c>
      <c r="P2077" s="656" t="s">
        <v>1176</v>
      </c>
      <c r="Q2077" s="657">
        <v>0</v>
      </c>
      <c r="R2077" s="657">
        <v>0</v>
      </c>
      <c r="S2077" s="657">
        <v>64270</v>
      </c>
      <c r="T2077" s="657">
        <v>64270</v>
      </c>
      <c r="U2077" s="657">
        <v>7268</v>
      </c>
      <c r="V2077" s="655">
        <v>2021</v>
      </c>
      <c r="W2077" s="659"/>
      <c r="X2077" s="660">
        <f t="shared" si="98"/>
        <v>8.842872867363786</v>
      </c>
      <c r="Y2077" s="661" t="str">
        <f t="shared" si="96"/>
        <v/>
      </c>
      <c r="Z2077" s="661" t="str">
        <f t="shared" si="97"/>
        <v/>
      </c>
    </row>
    <row r="2078" spans="1:26" s="128" customFormat="1" ht="25">
      <c r="A2078" s="655">
        <v>63472</v>
      </c>
      <c r="B2078" s="656" t="s">
        <v>33</v>
      </c>
      <c r="C2078" s="655" t="s">
        <v>2793</v>
      </c>
      <c r="D2078" s="656" t="s">
        <v>3201</v>
      </c>
      <c r="E2078" s="656" t="s">
        <v>2210</v>
      </c>
      <c r="F2078" s="655">
        <v>61012</v>
      </c>
      <c r="G2078" s="656" t="s">
        <v>81</v>
      </c>
      <c r="H2078" s="656" t="s">
        <v>1183</v>
      </c>
      <c r="I2078" s="656" t="s">
        <v>58</v>
      </c>
      <c r="J2078" s="655">
        <v>22</v>
      </c>
      <c r="K2078" s="655">
        <v>2</v>
      </c>
      <c r="L2078" s="656" t="s">
        <v>52</v>
      </c>
      <c r="M2078" s="656" t="s">
        <v>1890</v>
      </c>
      <c r="N2078" s="656" t="s">
        <v>1052</v>
      </c>
      <c r="O2078" s="656" t="s">
        <v>82</v>
      </c>
      <c r="P2078" s="656" t="s">
        <v>2794</v>
      </c>
      <c r="Q2078" s="657">
        <v>353</v>
      </c>
      <c r="R2078" s="657">
        <v>353</v>
      </c>
      <c r="S2078" s="657">
        <v>0</v>
      </c>
      <c r="T2078" s="657">
        <v>0</v>
      </c>
      <c r="U2078" s="657">
        <v>-41</v>
      </c>
      <c r="V2078" s="655">
        <v>2021</v>
      </c>
      <c r="W2078" s="659"/>
      <c r="X2078" s="660" t="str">
        <f t="shared" si="98"/>
        <v/>
      </c>
      <c r="Y2078" s="661" t="str">
        <f t="shared" si="96"/>
        <v/>
      </c>
      <c r="Z2078" s="661" t="str">
        <f t="shared" si="97"/>
        <v/>
      </c>
    </row>
    <row r="2079" spans="1:26" s="128" customFormat="1" ht="25">
      <c r="A2079" s="655">
        <v>63472</v>
      </c>
      <c r="B2079" s="656" t="s">
        <v>33</v>
      </c>
      <c r="C2079" s="655" t="s">
        <v>2793</v>
      </c>
      <c r="D2079" s="656" t="s">
        <v>3201</v>
      </c>
      <c r="E2079" s="656" t="s">
        <v>2210</v>
      </c>
      <c r="F2079" s="655">
        <v>61012</v>
      </c>
      <c r="G2079" s="656" t="s">
        <v>81</v>
      </c>
      <c r="H2079" s="656" t="s">
        <v>1183</v>
      </c>
      <c r="I2079" s="656" t="s">
        <v>58</v>
      </c>
      <c r="J2079" s="655">
        <v>22</v>
      </c>
      <c r="K2079" s="655">
        <v>2</v>
      </c>
      <c r="L2079" s="656" t="s">
        <v>52</v>
      </c>
      <c r="M2079" s="656" t="s">
        <v>448</v>
      </c>
      <c r="N2079" s="656" t="s">
        <v>449</v>
      </c>
      <c r="O2079" s="656" t="s">
        <v>449</v>
      </c>
      <c r="P2079" s="656" t="s">
        <v>1176</v>
      </c>
      <c r="Q2079" s="657">
        <v>0</v>
      </c>
      <c r="R2079" s="657">
        <v>0</v>
      </c>
      <c r="S2079" s="657">
        <v>30146</v>
      </c>
      <c r="T2079" s="657">
        <v>30146</v>
      </c>
      <c r="U2079" s="657">
        <v>3409</v>
      </c>
      <c r="V2079" s="655">
        <v>2021</v>
      </c>
      <c r="W2079" s="659"/>
      <c r="X2079" s="660">
        <f t="shared" si="98"/>
        <v>8.8430624816661769</v>
      </c>
      <c r="Y2079" s="661" t="str">
        <f t="shared" si="96"/>
        <v/>
      </c>
      <c r="Z2079" s="661" t="str">
        <f t="shared" si="97"/>
        <v/>
      </c>
    </row>
    <row r="2080" spans="1:26" s="128" customFormat="1" ht="25">
      <c r="A2080" s="655">
        <v>63473</v>
      </c>
      <c r="B2080" s="656" t="s">
        <v>33</v>
      </c>
      <c r="C2080" s="655" t="s">
        <v>2793</v>
      </c>
      <c r="D2080" s="656" t="s">
        <v>3202</v>
      </c>
      <c r="E2080" s="656" t="s">
        <v>2210</v>
      </c>
      <c r="F2080" s="655">
        <v>61012</v>
      </c>
      <c r="G2080" s="656" t="s">
        <v>81</v>
      </c>
      <c r="H2080" s="656" t="s">
        <v>1183</v>
      </c>
      <c r="I2080" s="656" t="s">
        <v>58</v>
      </c>
      <c r="J2080" s="655">
        <v>22</v>
      </c>
      <c r="K2080" s="655">
        <v>2</v>
      </c>
      <c r="L2080" s="656" t="s">
        <v>52</v>
      </c>
      <c r="M2080" s="656" t="s">
        <v>1890</v>
      </c>
      <c r="N2080" s="656" t="s">
        <v>1052</v>
      </c>
      <c r="O2080" s="656" t="s">
        <v>82</v>
      </c>
      <c r="P2080" s="656" t="s">
        <v>2794</v>
      </c>
      <c r="Q2080" s="657">
        <v>190</v>
      </c>
      <c r="R2080" s="657">
        <v>190</v>
      </c>
      <c r="S2080" s="657">
        <v>0</v>
      </c>
      <c r="T2080" s="657">
        <v>0</v>
      </c>
      <c r="U2080" s="657">
        <v>-14</v>
      </c>
      <c r="V2080" s="655">
        <v>2021</v>
      </c>
      <c r="W2080" s="659"/>
      <c r="X2080" s="660" t="str">
        <f t="shared" si="98"/>
        <v/>
      </c>
      <c r="Y2080" s="661" t="str">
        <f t="shared" si="96"/>
        <v/>
      </c>
      <c r="Z2080" s="661" t="str">
        <f t="shared" si="97"/>
        <v/>
      </c>
    </row>
    <row r="2081" spans="1:26" s="128" customFormat="1" ht="25">
      <c r="A2081" s="655">
        <v>63473</v>
      </c>
      <c r="B2081" s="656" t="s">
        <v>33</v>
      </c>
      <c r="C2081" s="655" t="s">
        <v>2793</v>
      </c>
      <c r="D2081" s="656" t="s">
        <v>3202</v>
      </c>
      <c r="E2081" s="656" t="s">
        <v>2210</v>
      </c>
      <c r="F2081" s="655">
        <v>61012</v>
      </c>
      <c r="G2081" s="656" t="s">
        <v>81</v>
      </c>
      <c r="H2081" s="656" t="s">
        <v>1183</v>
      </c>
      <c r="I2081" s="656" t="s">
        <v>58</v>
      </c>
      <c r="J2081" s="655">
        <v>22</v>
      </c>
      <c r="K2081" s="655">
        <v>2</v>
      </c>
      <c r="L2081" s="656" t="s">
        <v>52</v>
      </c>
      <c r="M2081" s="656" t="s">
        <v>448</v>
      </c>
      <c r="N2081" s="656" t="s">
        <v>449</v>
      </c>
      <c r="O2081" s="656" t="s">
        <v>449</v>
      </c>
      <c r="P2081" s="656" t="s">
        <v>1176</v>
      </c>
      <c r="Q2081" s="657">
        <v>0</v>
      </c>
      <c r="R2081" s="657">
        <v>0</v>
      </c>
      <c r="S2081" s="657">
        <v>19833</v>
      </c>
      <c r="T2081" s="657">
        <v>19833</v>
      </c>
      <c r="U2081" s="657">
        <v>2243</v>
      </c>
      <c r="V2081" s="655">
        <v>2021</v>
      </c>
      <c r="W2081" s="659"/>
      <c r="X2081" s="660">
        <f t="shared" si="98"/>
        <v>8.8421756576014268</v>
      </c>
      <c r="Y2081" s="661" t="str">
        <f t="shared" si="96"/>
        <v/>
      </c>
      <c r="Z2081" s="661" t="str">
        <f t="shared" si="97"/>
        <v/>
      </c>
    </row>
    <row r="2082" spans="1:26" s="128" customFormat="1" ht="25">
      <c r="A2082" s="655">
        <v>63474</v>
      </c>
      <c r="B2082" s="656" t="s">
        <v>33</v>
      </c>
      <c r="C2082" s="655" t="s">
        <v>2793</v>
      </c>
      <c r="D2082" s="656" t="s">
        <v>3203</v>
      </c>
      <c r="E2082" s="656" t="s">
        <v>2210</v>
      </c>
      <c r="F2082" s="655">
        <v>61012</v>
      </c>
      <c r="G2082" s="656" t="s">
        <v>81</v>
      </c>
      <c r="H2082" s="656" t="s">
        <v>1183</v>
      </c>
      <c r="I2082" s="656" t="s">
        <v>58</v>
      </c>
      <c r="J2082" s="655">
        <v>22</v>
      </c>
      <c r="K2082" s="655">
        <v>2</v>
      </c>
      <c r="L2082" s="656" t="s">
        <v>52</v>
      </c>
      <c r="M2082" s="656" t="s">
        <v>1890</v>
      </c>
      <c r="N2082" s="656" t="s">
        <v>1052</v>
      </c>
      <c r="O2082" s="656" t="s">
        <v>82</v>
      </c>
      <c r="P2082" s="656" t="s">
        <v>2794</v>
      </c>
      <c r="Q2082" s="657">
        <v>573</v>
      </c>
      <c r="R2082" s="657">
        <v>573</v>
      </c>
      <c r="S2082" s="657">
        <v>0</v>
      </c>
      <c r="T2082" s="657">
        <v>0</v>
      </c>
      <c r="U2082" s="657">
        <v>-108</v>
      </c>
      <c r="V2082" s="655">
        <v>2021</v>
      </c>
      <c r="W2082" s="659"/>
      <c r="X2082" s="660" t="str">
        <f t="shared" si="98"/>
        <v/>
      </c>
      <c r="Y2082" s="661" t="str">
        <f t="shared" si="96"/>
        <v/>
      </c>
      <c r="Z2082" s="661" t="str">
        <f t="shared" si="97"/>
        <v/>
      </c>
    </row>
    <row r="2083" spans="1:26" s="128" customFormat="1" ht="25">
      <c r="A2083" s="655">
        <v>63474</v>
      </c>
      <c r="B2083" s="656" t="s">
        <v>33</v>
      </c>
      <c r="C2083" s="655" t="s">
        <v>2793</v>
      </c>
      <c r="D2083" s="656" t="s">
        <v>3203</v>
      </c>
      <c r="E2083" s="656" t="s">
        <v>2210</v>
      </c>
      <c r="F2083" s="655">
        <v>61012</v>
      </c>
      <c r="G2083" s="656" t="s">
        <v>81</v>
      </c>
      <c r="H2083" s="656" t="s">
        <v>1183</v>
      </c>
      <c r="I2083" s="656" t="s">
        <v>58</v>
      </c>
      <c r="J2083" s="655">
        <v>22</v>
      </c>
      <c r="K2083" s="655">
        <v>2</v>
      </c>
      <c r="L2083" s="656" t="s">
        <v>52</v>
      </c>
      <c r="M2083" s="656" t="s">
        <v>448</v>
      </c>
      <c r="N2083" s="656" t="s">
        <v>449</v>
      </c>
      <c r="O2083" s="656" t="s">
        <v>449</v>
      </c>
      <c r="P2083" s="656" t="s">
        <v>1176</v>
      </c>
      <c r="Q2083" s="657">
        <v>0</v>
      </c>
      <c r="R2083" s="657">
        <v>0</v>
      </c>
      <c r="S2083" s="657">
        <v>55365</v>
      </c>
      <c r="T2083" s="657">
        <v>55365</v>
      </c>
      <c r="U2083" s="657">
        <v>6261</v>
      </c>
      <c r="V2083" s="655">
        <v>2021</v>
      </c>
      <c r="W2083" s="659"/>
      <c r="X2083" s="660">
        <f t="shared" si="98"/>
        <v>8.8428366075706748</v>
      </c>
      <c r="Y2083" s="661" t="str">
        <f t="shared" si="96"/>
        <v/>
      </c>
      <c r="Z2083" s="661" t="str">
        <f t="shared" si="97"/>
        <v/>
      </c>
    </row>
    <row r="2084" spans="1:26" s="128" customFormat="1" ht="25">
      <c r="A2084" s="655">
        <v>63475</v>
      </c>
      <c r="B2084" s="656" t="s">
        <v>33</v>
      </c>
      <c r="C2084" s="655" t="s">
        <v>2793</v>
      </c>
      <c r="D2084" s="656" t="s">
        <v>3417</v>
      </c>
      <c r="E2084" s="656" t="s">
        <v>2210</v>
      </c>
      <c r="F2084" s="655">
        <v>61012</v>
      </c>
      <c r="G2084" s="656" t="s">
        <v>81</v>
      </c>
      <c r="H2084" s="656" t="s">
        <v>1183</v>
      </c>
      <c r="I2084" s="656" t="s">
        <v>58</v>
      </c>
      <c r="J2084" s="655">
        <v>22</v>
      </c>
      <c r="K2084" s="655">
        <v>2</v>
      </c>
      <c r="L2084" s="656" t="s">
        <v>52</v>
      </c>
      <c r="M2084" s="656" t="s">
        <v>1890</v>
      </c>
      <c r="N2084" s="656" t="s">
        <v>1052</v>
      </c>
      <c r="O2084" s="656" t="s">
        <v>82</v>
      </c>
      <c r="P2084" s="656" t="s">
        <v>2794</v>
      </c>
      <c r="Q2084" s="657">
        <v>10</v>
      </c>
      <c r="R2084" s="657">
        <v>10</v>
      </c>
      <c r="S2084" s="657">
        <v>0</v>
      </c>
      <c r="T2084" s="657">
        <v>0</v>
      </c>
      <c r="U2084" s="657">
        <v>-5</v>
      </c>
      <c r="V2084" s="655">
        <v>2021</v>
      </c>
      <c r="W2084" s="659"/>
      <c r="X2084" s="660" t="str">
        <f t="shared" si="98"/>
        <v/>
      </c>
      <c r="Y2084" s="661" t="str">
        <f t="shared" si="96"/>
        <v/>
      </c>
      <c r="Z2084" s="661" t="str">
        <f t="shared" si="97"/>
        <v/>
      </c>
    </row>
    <row r="2085" spans="1:26" s="128" customFormat="1" ht="25">
      <c r="A2085" s="655">
        <v>63475</v>
      </c>
      <c r="B2085" s="656" t="s">
        <v>33</v>
      </c>
      <c r="C2085" s="655" t="s">
        <v>2793</v>
      </c>
      <c r="D2085" s="656" t="s">
        <v>3417</v>
      </c>
      <c r="E2085" s="656" t="s">
        <v>2210</v>
      </c>
      <c r="F2085" s="655">
        <v>61012</v>
      </c>
      <c r="G2085" s="656" t="s">
        <v>81</v>
      </c>
      <c r="H2085" s="656" t="s">
        <v>1183</v>
      </c>
      <c r="I2085" s="656" t="s">
        <v>58</v>
      </c>
      <c r="J2085" s="655">
        <v>22</v>
      </c>
      <c r="K2085" s="655">
        <v>2</v>
      </c>
      <c r="L2085" s="656" t="s">
        <v>52</v>
      </c>
      <c r="M2085" s="656" t="s">
        <v>448</v>
      </c>
      <c r="N2085" s="656" t="s">
        <v>449</v>
      </c>
      <c r="O2085" s="656" t="s">
        <v>449</v>
      </c>
      <c r="P2085" s="656" t="s">
        <v>1176</v>
      </c>
      <c r="Q2085" s="657">
        <v>0</v>
      </c>
      <c r="R2085" s="657">
        <v>0</v>
      </c>
      <c r="S2085" s="657">
        <v>16819</v>
      </c>
      <c r="T2085" s="657">
        <v>16819</v>
      </c>
      <c r="U2085" s="657">
        <v>1902</v>
      </c>
      <c r="V2085" s="655">
        <v>2021</v>
      </c>
      <c r="W2085" s="659"/>
      <c r="X2085" s="660">
        <f t="shared" si="98"/>
        <v>8.8427970557308093</v>
      </c>
      <c r="Y2085" s="661" t="str">
        <f t="shared" si="96"/>
        <v/>
      </c>
      <c r="Z2085" s="661" t="str">
        <f t="shared" si="97"/>
        <v/>
      </c>
    </row>
    <row r="2086" spans="1:26" s="128" customFormat="1" ht="25" hidden="1">
      <c r="A2086" s="655">
        <v>63497</v>
      </c>
      <c r="B2086" s="656" t="s">
        <v>33</v>
      </c>
      <c r="C2086" s="655" t="s">
        <v>2793</v>
      </c>
      <c r="D2086" s="656" t="s">
        <v>3019</v>
      </c>
      <c r="E2086" s="656" t="s">
        <v>3141</v>
      </c>
      <c r="F2086" s="655">
        <v>63970</v>
      </c>
      <c r="G2086" s="656" t="s">
        <v>57</v>
      </c>
      <c r="H2086" s="656" t="s">
        <v>1182</v>
      </c>
      <c r="I2086" s="656" t="s">
        <v>58</v>
      </c>
      <c r="J2086" s="655">
        <v>22</v>
      </c>
      <c r="K2086" s="655">
        <v>2</v>
      </c>
      <c r="L2086" s="656" t="s">
        <v>52</v>
      </c>
      <c r="M2086" s="656" t="s">
        <v>448</v>
      </c>
      <c r="N2086" s="656" t="s">
        <v>449</v>
      </c>
      <c r="O2086" s="656" t="s">
        <v>449</v>
      </c>
      <c r="P2086" s="656" t="s">
        <v>1176</v>
      </c>
      <c r="Q2086" s="657">
        <v>0</v>
      </c>
      <c r="R2086" s="657">
        <v>0</v>
      </c>
      <c r="S2086" s="657">
        <v>19765</v>
      </c>
      <c r="T2086" s="657">
        <v>19765</v>
      </c>
      <c r="U2086" s="657">
        <v>2235</v>
      </c>
      <c r="V2086" s="655">
        <v>2021</v>
      </c>
      <c r="W2086" s="659"/>
      <c r="X2086" s="660">
        <f t="shared" si="98"/>
        <v>8.8434004474272925</v>
      </c>
      <c r="Y2086" s="661" t="str">
        <f t="shared" si="96"/>
        <v/>
      </c>
      <c r="Z2086" s="661" t="str">
        <f t="shared" si="97"/>
        <v/>
      </c>
    </row>
    <row r="2087" spans="1:26" s="128" customFormat="1" ht="25" hidden="1">
      <c r="A2087" s="655">
        <v>63498</v>
      </c>
      <c r="B2087" s="656" t="s">
        <v>33</v>
      </c>
      <c r="C2087" s="655" t="s">
        <v>2793</v>
      </c>
      <c r="D2087" s="656" t="s">
        <v>3020</v>
      </c>
      <c r="E2087" s="656" t="s">
        <v>3141</v>
      </c>
      <c r="F2087" s="655">
        <v>63970</v>
      </c>
      <c r="G2087" s="656" t="s">
        <v>57</v>
      </c>
      <c r="H2087" s="656" t="s">
        <v>1182</v>
      </c>
      <c r="I2087" s="656" t="s">
        <v>58</v>
      </c>
      <c r="J2087" s="655">
        <v>22</v>
      </c>
      <c r="K2087" s="655">
        <v>2</v>
      </c>
      <c r="L2087" s="656" t="s">
        <v>52</v>
      </c>
      <c r="M2087" s="656" t="s">
        <v>448</v>
      </c>
      <c r="N2087" s="656" t="s">
        <v>449</v>
      </c>
      <c r="O2087" s="656" t="s">
        <v>449</v>
      </c>
      <c r="P2087" s="656" t="s">
        <v>1176</v>
      </c>
      <c r="Q2087" s="657">
        <v>0</v>
      </c>
      <c r="R2087" s="657">
        <v>0</v>
      </c>
      <c r="S2087" s="657">
        <v>18260</v>
      </c>
      <c r="T2087" s="657">
        <v>18260</v>
      </c>
      <c r="U2087" s="657">
        <v>2065</v>
      </c>
      <c r="V2087" s="655">
        <v>2021</v>
      </c>
      <c r="W2087" s="659"/>
      <c r="X2087" s="660">
        <f t="shared" si="98"/>
        <v>8.8426150121065383</v>
      </c>
      <c r="Y2087" s="661" t="str">
        <f t="shared" si="96"/>
        <v/>
      </c>
      <c r="Z2087" s="661" t="str">
        <f t="shared" si="97"/>
        <v/>
      </c>
    </row>
    <row r="2088" spans="1:26" s="128" customFormat="1" ht="25" hidden="1">
      <c r="A2088" s="655">
        <v>63511</v>
      </c>
      <c r="B2088" s="656" t="s">
        <v>33</v>
      </c>
      <c r="C2088" s="655" t="s">
        <v>2793</v>
      </c>
      <c r="D2088" s="656" t="s">
        <v>3021</v>
      </c>
      <c r="E2088" s="656" t="s">
        <v>1922</v>
      </c>
      <c r="F2088" s="655">
        <v>60947</v>
      </c>
      <c r="G2088" s="656" t="s">
        <v>57</v>
      </c>
      <c r="H2088" s="656" t="s">
        <v>1182</v>
      </c>
      <c r="I2088" s="656" t="s">
        <v>58</v>
      </c>
      <c r="J2088" s="655">
        <v>22</v>
      </c>
      <c r="K2088" s="655">
        <v>2</v>
      </c>
      <c r="L2088" s="656" t="s">
        <v>52</v>
      </c>
      <c r="M2088" s="656" t="s">
        <v>448</v>
      </c>
      <c r="N2088" s="656" t="s">
        <v>449</v>
      </c>
      <c r="O2088" s="656" t="s">
        <v>449</v>
      </c>
      <c r="P2088" s="656" t="s">
        <v>1176</v>
      </c>
      <c r="Q2088" s="657">
        <v>0</v>
      </c>
      <c r="R2088" s="657">
        <v>0</v>
      </c>
      <c r="S2088" s="657">
        <v>17154</v>
      </c>
      <c r="T2088" s="657">
        <v>17154</v>
      </c>
      <c r="U2088" s="657">
        <v>1940</v>
      </c>
      <c r="V2088" s="655">
        <v>2021</v>
      </c>
      <c r="W2088" s="659"/>
      <c r="X2088" s="660">
        <f t="shared" si="98"/>
        <v>8.842268041237114</v>
      </c>
      <c r="Y2088" s="661" t="str">
        <f t="shared" si="96"/>
        <v/>
      </c>
      <c r="Z2088" s="661" t="str">
        <f t="shared" si="97"/>
        <v/>
      </c>
    </row>
    <row r="2089" spans="1:26" s="128" customFormat="1" ht="25" hidden="1">
      <c r="A2089" s="655">
        <v>63537</v>
      </c>
      <c r="B2089" s="656" t="s">
        <v>33</v>
      </c>
      <c r="C2089" s="655" t="s">
        <v>2793</v>
      </c>
      <c r="D2089" s="656" t="s">
        <v>3204</v>
      </c>
      <c r="E2089" s="656" t="s">
        <v>3022</v>
      </c>
      <c r="F2089" s="655">
        <v>63259</v>
      </c>
      <c r="G2089" s="656" t="s">
        <v>41</v>
      </c>
      <c r="H2089" s="656" t="s">
        <v>1183</v>
      </c>
      <c r="I2089" s="656" t="s">
        <v>58</v>
      </c>
      <c r="J2089" s="655">
        <v>22</v>
      </c>
      <c r="K2089" s="655">
        <v>2</v>
      </c>
      <c r="L2089" s="656" t="s">
        <v>52</v>
      </c>
      <c r="M2089" s="656" t="s">
        <v>448</v>
      </c>
      <c r="N2089" s="656" t="s">
        <v>449</v>
      </c>
      <c r="O2089" s="656" t="s">
        <v>449</v>
      </c>
      <c r="P2089" s="656" t="s">
        <v>1176</v>
      </c>
      <c r="Q2089" s="657">
        <v>0</v>
      </c>
      <c r="R2089" s="657">
        <v>0</v>
      </c>
      <c r="S2089" s="657">
        <v>35</v>
      </c>
      <c r="T2089" s="657">
        <v>35</v>
      </c>
      <c r="U2089" s="657">
        <v>4</v>
      </c>
      <c r="V2089" s="655">
        <v>2021</v>
      </c>
      <c r="W2089" s="659"/>
      <c r="X2089" s="660">
        <f t="shared" si="98"/>
        <v>8.75</v>
      </c>
      <c r="Y2089" s="661" t="str">
        <f t="shared" si="96"/>
        <v/>
      </c>
      <c r="Z2089" s="661" t="str">
        <f t="shared" si="97"/>
        <v/>
      </c>
    </row>
    <row r="2090" spans="1:26" s="128" customFormat="1" ht="25">
      <c r="A2090" s="655">
        <v>63555</v>
      </c>
      <c r="B2090" s="656" t="s">
        <v>33</v>
      </c>
      <c r="C2090" s="655" t="s">
        <v>2793</v>
      </c>
      <c r="D2090" s="656" t="s">
        <v>3023</v>
      </c>
      <c r="E2090" s="656" t="s">
        <v>3024</v>
      </c>
      <c r="F2090" s="655">
        <v>63281</v>
      </c>
      <c r="G2090" s="656" t="s">
        <v>81</v>
      </c>
      <c r="H2090" s="656" t="s">
        <v>1183</v>
      </c>
      <c r="I2090" s="656" t="s">
        <v>58</v>
      </c>
      <c r="J2090" s="655">
        <v>22</v>
      </c>
      <c r="K2090" s="655">
        <v>2</v>
      </c>
      <c r="L2090" s="656" t="s">
        <v>52</v>
      </c>
      <c r="M2090" s="656" t="s">
        <v>448</v>
      </c>
      <c r="N2090" s="656" t="s">
        <v>449</v>
      </c>
      <c r="O2090" s="656" t="s">
        <v>449</v>
      </c>
      <c r="P2090" s="656" t="s">
        <v>1176</v>
      </c>
      <c r="Q2090" s="657">
        <v>0</v>
      </c>
      <c r="R2090" s="657">
        <v>0</v>
      </c>
      <c r="S2090" s="657">
        <v>14378</v>
      </c>
      <c r="T2090" s="657">
        <v>14378</v>
      </c>
      <c r="U2090" s="657">
        <v>1626</v>
      </c>
      <c r="V2090" s="655">
        <v>2021</v>
      </c>
      <c r="W2090" s="659"/>
      <c r="X2090" s="660">
        <f t="shared" si="98"/>
        <v>8.8425584255842562</v>
      </c>
      <c r="Y2090" s="661" t="str">
        <f t="shared" si="96"/>
        <v/>
      </c>
      <c r="Z2090" s="661" t="str">
        <f t="shared" si="97"/>
        <v/>
      </c>
    </row>
    <row r="2091" spans="1:26" s="128" customFormat="1">
      <c r="A2091" s="655">
        <v>63556</v>
      </c>
      <c r="B2091" s="656" t="s">
        <v>33</v>
      </c>
      <c r="C2091" s="655" t="s">
        <v>2793</v>
      </c>
      <c r="D2091" s="656" t="s">
        <v>3025</v>
      </c>
      <c r="E2091" s="656" t="s">
        <v>3024</v>
      </c>
      <c r="F2091" s="655">
        <v>63281</v>
      </c>
      <c r="G2091" s="656" t="s">
        <v>81</v>
      </c>
      <c r="H2091" s="656" t="s">
        <v>1183</v>
      </c>
      <c r="I2091" s="656" t="s">
        <v>58</v>
      </c>
      <c r="J2091" s="655">
        <v>22</v>
      </c>
      <c r="K2091" s="655">
        <v>2</v>
      </c>
      <c r="L2091" s="656" t="s">
        <v>52</v>
      </c>
      <c r="M2091" s="656" t="s">
        <v>448</v>
      </c>
      <c r="N2091" s="656" t="s">
        <v>449</v>
      </c>
      <c r="O2091" s="656" t="s">
        <v>449</v>
      </c>
      <c r="P2091" s="656" t="s">
        <v>1176</v>
      </c>
      <c r="Q2091" s="657">
        <v>0</v>
      </c>
      <c r="R2091" s="657">
        <v>0</v>
      </c>
      <c r="S2091" s="657">
        <v>40580</v>
      </c>
      <c r="T2091" s="657">
        <v>40580</v>
      </c>
      <c r="U2091" s="657">
        <v>4589</v>
      </c>
      <c r="V2091" s="655">
        <v>2021</v>
      </c>
      <c r="W2091" s="659"/>
      <c r="X2091" s="660">
        <f t="shared" si="98"/>
        <v>8.8428851601656131</v>
      </c>
      <c r="Y2091" s="661" t="str">
        <f t="shared" si="96"/>
        <v/>
      </c>
      <c r="Z2091" s="661" t="str">
        <f t="shared" si="97"/>
        <v/>
      </c>
    </row>
    <row r="2092" spans="1:26" s="128" customFormat="1" ht="25">
      <c r="A2092" s="655">
        <v>63557</v>
      </c>
      <c r="B2092" s="656" t="s">
        <v>33</v>
      </c>
      <c r="C2092" s="655" t="s">
        <v>2793</v>
      </c>
      <c r="D2092" s="656" t="s">
        <v>3026</v>
      </c>
      <c r="E2092" s="656" t="s">
        <v>3024</v>
      </c>
      <c r="F2092" s="655">
        <v>63281</v>
      </c>
      <c r="G2092" s="656" t="s">
        <v>81</v>
      </c>
      <c r="H2092" s="656" t="s">
        <v>1183</v>
      </c>
      <c r="I2092" s="656" t="s">
        <v>58</v>
      </c>
      <c r="J2092" s="655">
        <v>22</v>
      </c>
      <c r="K2092" s="655">
        <v>2</v>
      </c>
      <c r="L2092" s="656" t="s">
        <v>52</v>
      </c>
      <c r="M2092" s="656" t="s">
        <v>448</v>
      </c>
      <c r="N2092" s="656" t="s">
        <v>449</v>
      </c>
      <c r="O2092" s="656" t="s">
        <v>449</v>
      </c>
      <c r="P2092" s="656" t="s">
        <v>1176</v>
      </c>
      <c r="Q2092" s="657">
        <v>0</v>
      </c>
      <c r="R2092" s="657">
        <v>0</v>
      </c>
      <c r="S2092" s="657">
        <v>14466</v>
      </c>
      <c r="T2092" s="657">
        <v>14466</v>
      </c>
      <c r="U2092" s="657">
        <v>1636</v>
      </c>
      <c r="V2092" s="655">
        <v>2021</v>
      </c>
      <c r="W2092" s="659"/>
      <c r="X2092" s="660">
        <f t="shared" si="98"/>
        <v>8.842298288508557</v>
      </c>
      <c r="Y2092" s="661" t="str">
        <f t="shared" si="96"/>
        <v/>
      </c>
      <c r="Z2092" s="661" t="str">
        <f t="shared" si="97"/>
        <v/>
      </c>
    </row>
    <row r="2093" spans="1:26" s="128" customFormat="1" ht="25">
      <c r="A2093" s="655">
        <v>63558</v>
      </c>
      <c r="B2093" s="656" t="s">
        <v>33</v>
      </c>
      <c r="C2093" s="655" t="s">
        <v>2793</v>
      </c>
      <c r="D2093" s="656" t="s">
        <v>3027</v>
      </c>
      <c r="E2093" s="656" t="s">
        <v>3024</v>
      </c>
      <c r="F2093" s="655">
        <v>63281</v>
      </c>
      <c r="G2093" s="656" t="s">
        <v>81</v>
      </c>
      <c r="H2093" s="656" t="s">
        <v>1183</v>
      </c>
      <c r="I2093" s="656" t="s">
        <v>58</v>
      </c>
      <c r="J2093" s="655">
        <v>22</v>
      </c>
      <c r="K2093" s="655">
        <v>2</v>
      </c>
      <c r="L2093" s="656" t="s">
        <v>52</v>
      </c>
      <c r="M2093" s="656" t="s">
        <v>448</v>
      </c>
      <c r="N2093" s="656" t="s">
        <v>449</v>
      </c>
      <c r="O2093" s="656" t="s">
        <v>449</v>
      </c>
      <c r="P2093" s="656" t="s">
        <v>1176</v>
      </c>
      <c r="Q2093" s="657">
        <v>0</v>
      </c>
      <c r="R2093" s="657">
        <v>0</v>
      </c>
      <c r="S2093" s="657">
        <v>14477</v>
      </c>
      <c r="T2093" s="657">
        <v>14477</v>
      </c>
      <c r="U2093" s="657">
        <v>1637</v>
      </c>
      <c r="V2093" s="655">
        <v>2021</v>
      </c>
      <c r="W2093" s="659"/>
      <c r="X2093" s="660">
        <f t="shared" si="98"/>
        <v>8.8436163714111178</v>
      </c>
      <c r="Y2093" s="661" t="str">
        <f t="shared" si="96"/>
        <v/>
      </c>
      <c r="Z2093" s="661" t="str">
        <f t="shared" si="97"/>
        <v/>
      </c>
    </row>
    <row r="2094" spans="1:26" s="128" customFormat="1" ht="25">
      <c r="A2094" s="655">
        <v>63561</v>
      </c>
      <c r="B2094" s="656" t="s">
        <v>33</v>
      </c>
      <c r="C2094" s="655" t="s">
        <v>2793</v>
      </c>
      <c r="D2094" s="656" t="s">
        <v>3028</v>
      </c>
      <c r="E2094" s="656" t="s">
        <v>3024</v>
      </c>
      <c r="F2094" s="655">
        <v>63281</v>
      </c>
      <c r="G2094" s="656" t="s">
        <v>81</v>
      </c>
      <c r="H2094" s="656" t="s">
        <v>1183</v>
      </c>
      <c r="I2094" s="656" t="s">
        <v>58</v>
      </c>
      <c r="J2094" s="655">
        <v>22</v>
      </c>
      <c r="K2094" s="655">
        <v>2</v>
      </c>
      <c r="L2094" s="656" t="s">
        <v>52</v>
      </c>
      <c r="M2094" s="656" t="s">
        <v>448</v>
      </c>
      <c r="N2094" s="656" t="s">
        <v>449</v>
      </c>
      <c r="O2094" s="656" t="s">
        <v>449</v>
      </c>
      <c r="P2094" s="656" t="s">
        <v>1176</v>
      </c>
      <c r="Q2094" s="657">
        <v>0</v>
      </c>
      <c r="R2094" s="657">
        <v>0</v>
      </c>
      <c r="S2094" s="657">
        <v>13538</v>
      </c>
      <c r="T2094" s="657">
        <v>13538</v>
      </c>
      <c r="U2094" s="657">
        <v>1531</v>
      </c>
      <c r="V2094" s="655">
        <v>2021</v>
      </c>
      <c r="W2094" s="659"/>
      <c r="X2094" s="660">
        <f t="shared" si="98"/>
        <v>8.842586544741998</v>
      </c>
      <c r="Y2094" s="661" t="str">
        <f t="shared" si="96"/>
        <v/>
      </c>
      <c r="Z2094" s="661" t="str">
        <f t="shared" si="97"/>
        <v/>
      </c>
    </row>
    <row r="2095" spans="1:26" s="128" customFormat="1" ht="25">
      <c r="A2095" s="655">
        <v>63562</v>
      </c>
      <c r="B2095" s="656" t="s">
        <v>33</v>
      </c>
      <c r="C2095" s="655" t="s">
        <v>2793</v>
      </c>
      <c r="D2095" s="656" t="s">
        <v>3029</v>
      </c>
      <c r="E2095" s="656" t="s">
        <v>3024</v>
      </c>
      <c r="F2095" s="655">
        <v>63281</v>
      </c>
      <c r="G2095" s="656" t="s">
        <v>81</v>
      </c>
      <c r="H2095" s="656" t="s">
        <v>1183</v>
      </c>
      <c r="I2095" s="656" t="s">
        <v>58</v>
      </c>
      <c r="J2095" s="655">
        <v>22</v>
      </c>
      <c r="K2095" s="655">
        <v>2</v>
      </c>
      <c r="L2095" s="656" t="s">
        <v>52</v>
      </c>
      <c r="M2095" s="656" t="s">
        <v>448</v>
      </c>
      <c r="N2095" s="656" t="s">
        <v>449</v>
      </c>
      <c r="O2095" s="656" t="s">
        <v>449</v>
      </c>
      <c r="P2095" s="656" t="s">
        <v>1176</v>
      </c>
      <c r="Q2095" s="657">
        <v>0</v>
      </c>
      <c r="R2095" s="657">
        <v>0</v>
      </c>
      <c r="S2095" s="657">
        <v>32905</v>
      </c>
      <c r="T2095" s="657">
        <v>32905</v>
      </c>
      <c r="U2095" s="657">
        <v>3721</v>
      </c>
      <c r="V2095" s="655">
        <v>2021</v>
      </c>
      <c r="W2095" s="659"/>
      <c r="X2095" s="660">
        <f t="shared" si="98"/>
        <v>8.843052942757323</v>
      </c>
      <c r="Y2095" s="661" t="str">
        <f t="shared" si="96"/>
        <v/>
      </c>
      <c r="Z2095" s="661" t="str">
        <f t="shared" si="97"/>
        <v/>
      </c>
    </row>
    <row r="2096" spans="1:26" s="128" customFormat="1">
      <c r="A2096" s="655">
        <v>63563</v>
      </c>
      <c r="B2096" s="656" t="s">
        <v>33</v>
      </c>
      <c r="C2096" s="655" t="s">
        <v>2793</v>
      </c>
      <c r="D2096" s="656" t="s">
        <v>3030</v>
      </c>
      <c r="E2096" s="656" t="s">
        <v>3024</v>
      </c>
      <c r="F2096" s="655">
        <v>63281</v>
      </c>
      <c r="G2096" s="656" t="s">
        <v>81</v>
      </c>
      <c r="H2096" s="656" t="s">
        <v>1183</v>
      </c>
      <c r="I2096" s="656" t="s">
        <v>58</v>
      </c>
      <c r="J2096" s="655">
        <v>22</v>
      </c>
      <c r="K2096" s="655">
        <v>2</v>
      </c>
      <c r="L2096" s="656" t="s">
        <v>52</v>
      </c>
      <c r="M2096" s="656" t="s">
        <v>448</v>
      </c>
      <c r="N2096" s="656" t="s">
        <v>449</v>
      </c>
      <c r="O2096" s="656" t="s">
        <v>449</v>
      </c>
      <c r="P2096" s="656" t="s">
        <v>1176</v>
      </c>
      <c r="Q2096" s="657">
        <v>0</v>
      </c>
      <c r="R2096" s="657">
        <v>0</v>
      </c>
      <c r="S2096" s="657">
        <v>31277</v>
      </c>
      <c r="T2096" s="657">
        <v>31277</v>
      </c>
      <c r="U2096" s="657">
        <v>3537</v>
      </c>
      <c r="V2096" s="655">
        <v>2021</v>
      </c>
      <c r="W2096" s="659"/>
      <c r="X2096" s="660">
        <f t="shared" si="98"/>
        <v>8.8428046366977657</v>
      </c>
      <c r="Y2096" s="661" t="str">
        <f t="shared" si="96"/>
        <v/>
      </c>
      <c r="Z2096" s="661" t="str">
        <f t="shared" si="97"/>
        <v/>
      </c>
    </row>
    <row r="2097" spans="1:26" s="128" customFormat="1">
      <c r="A2097" s="655">
        <v>63564</v>
      </c>
      <c r="B2097" s="656" t="s">
        <v>33</v>
      </c>
      <c r="C2097" s="655" t="s">
        <v>2793</v>
      </c>
      <c r="D2097" s="656" t="s">
        <v>3031</v>
      </c>
      <c r="E2097" s="656" t="s">
        <v>3024</v>
      </c>
      <c r="F2097" s="655">
        <v>63281</v>
      </c>
      <c r="G2097" s="656" t="s">
        <v>81</v>
      </c>
      <c r="H2097" s="656" t="s">
        <v>1183</v>
      </c>
      <c r="I2097" s="656" t="s">
        <v>58</v>
      </c>
      <c r="J2097" s="655">
        <v>22</v>
      </c>
      <c r="K2097" s="655">
        <v>2</v>
      </c>
      <c r="L2097" s="656" t="s">
        <v>52</v>
      </c>
      <c r="M2097" s="656" t="s">
        <v>448</v>
      </c>
      <c r="N2097" s="656" t="s">
        <v>449</v>
      </c>
      <c r="O2097" s="656" t="s">
        <v>449</v>
      </c>
      <c r="P2097" s="656" t="s">
        <v>1176</v>
      </c>
      <c r="Q2097" s="657">
        <v>0</v>
      </c>
      <c r="R2097" s="657">
        <v>0</v>
      </c>
      <c r="S2097" s="657">
        <v>13486</v>
      </c>
      <c r="T2097" s="657">
        <v>13486</v>
      </c>
      <c r="U2097" s="657">
        <v>1525</v>
      </c>
      <c r="V2097" s="655">
        <v>2021</v>
      </c>
      <c r="W2097" s="659"/>
      <c r="X2097" s="660">
        <f t="shared" si="98"/>
        <v>8.84327868852459</v>
      </c>
      <c r="Y2097" s="661" t="str">
        <f t="shared" si="96"/>
        <v/>
      </c>
      <c r="Z2097" s="661" t="str">
        <f t="shared" si="97"/>
        <v/>
      </c>
    </row>
    <row r="2098" spans="1:26" s="128" customFormat="1" ht="25">
      <c r="A2098" s="655">
        <v>63565</v>
      </c>
      <c r="B2098" s="656" t="s">
        <v>33</v>
      </c>
      <c r="C2098" s="655" t="s">
        <v>2793</v>
      </c>
      <c r="D2098" s="656" t="s">
        <v>3032</v>
      </c>
      <c r="E2098" s="656" t="s">
        <v>3024</v>
      </c>
      <c r="F2098" s="655">
        <v>63281</v>
      </c>
      <c r="G2098" s="656" t="s">
        <v>81</v>
      </c>
      <c r="H2098" s="656" t="s">
        <v>1183</v>
      </c>
      <c r="I2098" s="656" t="s">
        <v>58</v>
      </c>
      <c r="J2098" s="655">
        <v>22</v>
      </c>
      <c r="K2098" s="655">
        <v>2</v>
      </c>
      <c r="L2098" s="656" t="s">
        <v>52</v>
      </c>
      <c r="M2098" s="656" t="s">
        <v>448</v>
      </c>
      <c r="N2098" s="656" t="s">
        <v>449</v>
      </c>
      <c r="O2098" s="656" t="s">
        <v>449</v>
      </c>
      <c r="P2098" s="656" t="s">
        <v>1176</v>
      </c>
      <c r="Q2098" s="657">
        <v>0</v>
      </c>
      <c r="R2098" s="657">
        <v>0</v>
      </c>
      <c r="S2098" s="657">
        <v>14130</v>
      </c>
      <c r="T2098" s="657">
        <v>14130</v>
      </c>
      <c r="U2098" s="657">
        <v>1598</v>
      </c>
      <c r="V2098" s="655">
        <v>2021</v>
      </c>
      <c r="W2098" s="659"/>
      <c r="X2098" s="660">
        <f t="shared" si="98"/>
        <v>8.8423028785982485</v>
      </c>
      <c r="Y2098" s="661" t="str">
        <f t="shared" si="96"/>
        <v/>
      </c>
      <c r="Z2098" s="661" t="str">
        <f t="shared" si="97"/>
        <v/>
      </c>
    </row>
    <row r="2099" spans="1:26" s="128" customFormat="1" ht="25">
      <c r="A2099" s="655">
        <v>63569</v>
      </c>
      <c r="B2099" s="656" t="s">
        <v>33</v>
      </c>
      <c r="C2099" s="655" t="s">
        <v>2793</v>
      </c>
      <c r="D2099" s="656" t="s">
        <v>3033</v>
      </c>
      <c r="E2099" s="656" t="s">
        <v>3024</v>
      </c>
      <c r="F2099" s="655">
        <v>63281</v>
      </c>
      <c r="G2099" s="656" t="s">
        <v>81</v>
      </c>
      <c r="H2099" s="656" t="s">
        <v>1183</v>
      </c>
      <c r="I2099" s="656" t="s">
        <v>58</v>
      </c>
      <c r="J2099" s="655">
        <v>22</v>
      </c>
      <c r="K2099" s="655">
        <v>2</v>
      </c>
      <c r="L2099" s="656" t="s">
        <v>52</v>
      </c>
      <c r="M2099" s="656" t="s">
        <v>448</v>
      </c>
      <c r="N2099" s="656" t="s">
        <v>449</v>
      </c>
      <c r="O2099" s="656" t="s">
        <v>449</v>
      </c>
      <c r="P2099" s="656" t="s">
        <v>1176</v>
      </c>
      <c r="Q2099" s="657">
        <v>0</v>
      </c>
      <c r="R2099" s="657">
        <v>0</v>
      </c>
      <c r="S2099" s="657">
        <v>14786</v>
      </c>
      <c r="T2099" s="657">
        <v>14786</v>
      </c>
      <c r="U2099" s="657">
        <v>1672</v>
      </c>
      <c r="V2099" s="655">
        <v>2021</v>
      </c>
      <c r="W2099" s="659"/>
      <c r="X2099" s="660">
        <f t="shared" si="98"/>
        <v>8.8433014354066994</v>
      </c>
      <c r="Y2099" s="661" t="str">
        <f t="shared" si="96"/>
        <v/>
      </c>
      <c r="Z2099" s="661" t="str">
        <f t="shared" si="97"/>
        <v/>
      </c>
    </row>
    <row r="2100" spans="1:26" s="128" customFormat="1" ht="25">
      <c r="A2100" s="655">
        <v>63570</v>
      </c>
      <c r="B2100" s="656" t="s">
        <v>33</v>
      </c>
      <c r="C2100" s="655" t="s">
        <v>2793</v>
      </c>
      <c r="D2100" s="656" t="s">
        <v>3034</v>
      </c>
      <c r="E2100" s="656" t="s">
        <v>3024</v>
      </c>
      <c r="F2100" s="655">
        <v>63281</v>
      </c>
      <c r="G2100" s="656" t="s">
        <v>81</v>
      </c>
      <c r="H2100" s="656" t="s">
        <v>1183</v>
      </c>
      <c r="I2100" s="656" t="s">
        <v>58</v>
      </c>
      <c r="J2100" s="655">
        <v>22</v>
      </c>
      <c r="K2100" s="655">
        <v>2</v>
      </c>
      <c r="L2100" s="656" t="s">
        <v>52</v>
      </c>
      <c r="M2100" s="656" t="s">
        <v>448</v>
      </c>
      <c r="N2100" s="656" t="s">
        <v>449</v>
      </c>
      <c r="O2100" s="656" t="s">
        <v>449</v>
      </c>
      <c r="P2100" s="656" t="s">
        <v>1176</v>
      </c>
      <c r="Q2100" s="657">
        <v>0</v>
      </c>
      <c r="R2100" s="657">
        <v>0</v>
      </c>
      <c r="S2100" s="657">
        <v>14378</v>
      </c>
      <c r="T2100" s="657">
        <v>14378</v>
      </c>
      <c r="U2100" s="657">
        <v>1626</v>
      </c>
      <c r="V2100" s="655">
        <v>2021</v>
      </c>
      <c r="W2100" s="659"/>
      <c r="X2100" s="660">
        <f t="shared" si="98"/>
        <v>8.8425584255842562</v>
      </c>
      <c r="Y2100" s="661" t="str">
        <f t="shared" si="96"/>
        <v/>
      </c>
      <c r="Z2100" s="661" t="str">
        <f t="shared" si="97"/>
        <v/>
      </c>
    </row>
    <row r="2101" spans="1:26" s="128" customFormat="1" ht="25">
      <c r="A2101" s="655">
        <v>63571</v>
      </c>
      <c r="B2101" s="656" t="s">
        <v>33</v>
      </c>
      <c r="C2101" s="655" t="s">
        <v>2793</v>
      </c>
      <c r="D2101" s="656" t="s">
        <v>3035</v>
      </c>
      <c r="E2101" s="656" t="s">
        <v>3024</v>
      </c>
      <c r="F2101" s="655">
        <v>63281</v>
      </c>
      <c r="G2101" s="656" t="s">
        <v>81</v>
      </c>
      <c r="H2101" s="656" t="s">
        <v>1183</v>
      </c>
      <c r="I2101" s="656" t="s">
        <v>58</v>
      </c>
      <c r="J2101" s="655">
        <v>22</v>
      </c>
      <c r="K2101" s="655">
        <v>2</v>
      </c>
      <c r="L2101" s="656" t="s">
        <v>52</v>
      </c>
      <c r="M2101" s="656" t="s">
        <v>448</v>
      </c>
      <c r="N2101" s="656" t="s">
        <v>449</v>
      </c>
      <c r="O2101" s="656" t="s">
        <v>449</v>
      </c>
      <c r="P2101" s="656" t="s">
        <v>1176</v>
      </c>
      <c r="Q2101" s="657">
        <v>0</v>
      </c>
      <c r="R2101" s="657">
        <v>0</v>
      </c>
      <c r="S2101" s="657">
        <v>14706</v>
      </c>
      <c r="T2101" s="657">
        <v>14706</v>
      </c>
      <c r="U2101" s="657">
        <v>1663</v>
      </c>
      <c r="V2101" s="655">
        <v>2021</v>
      </c>
      <c r="W2101" s="659"/>
      <c r="X2101" s="660">
        <f t="shared" si="98"/>
        <v>8.8430547203848473</v>
      </c>
      <c r="Y2101" s="661" t="str">
        <f t="shared" si="96"/>
        <v/>
      </c>
      <c r="Z2101" s="661" t="str">
        <f t="shared" si="97"/>
        <v/>
      </c>
    </row>
    <row r="2102" spans="1:26" s="128" customFormat="1">
      <c r="A2102" s="655">
        <v>63572</v>
      </c>
      <c r="B2102" s="656" t="s">
        <v>33</v>
      </c>
      <c r="C2102" s="655" t="s">
        <v>2793</v>
      </c>
      <c r="D2102" s="656" t="s">
        <v>3036</v>
      </c>
      <c r="E2102" s="656" t="s">
        <v>3024</v>
      </c>
      <c r="F2102" s="655">
        <v>63281</v>
      </c>
      <c r="G2102" s="656" t="s">
        <v>81</v>
      </c>
      <c r="H2102" s="656" t="s">
        <v>1183</v>
      </c>
      <c r="I2102" s="656" t="s">
        <v>58</v>
      </c>
      <c r="J2102" s="655">
        <v>22</v>
      </c>
      <c r="K2102" s="655">
        <v>2</v>
      </c>
      <c r="L2102" s="656" t="s">
        <v>52</v>
      </c>
      <c r="M2102" s="656" t="s">
        <v>448</v>
      </c>
      <c r="N2102" s="656" t="s">
        <v>449</v>
      </c>
      <c r="O2102" s="656" t="s">
        <v>449</v>
      </c>
      <c r="P2102" s="656" t="s">
        <v>1176</v>
      </c>
      <c r="Q2102" s="657">
        <v>0</v>
      </c>
      <c r="R2102" s="657">
        <v>0</v>
      </c>
      <c r="S2102" s="657">
        <v>12441</v>
      </c>
      <c r="T2102" s="657">
        <v>12441</v>
      </c>
      <c r="U2102" s="657">
        <v>1407</v>
      </c>
      <c r="V2102" s="655">
        <v>2021</v>
      </c>
      <c r="W2102" s="659"/>
      <c r="X2102" s="660">
        <f t="shared" si="98"/>
        <v>8.842217484008529</v>
      </c>
      <c r="Y2102" s="661" t="str">
        <f t="shared" si="96"/>
        <v/>
      </c>
      <c r="Z2102" s="661" t="str">
        <f t="shared" si="97"/>
        <v/>
      </c>
    </row>
    <row r="2103" spans="1:26" s="128" customFormat="1">
      <c r="A2103" s="655">
        <v>63573</v>
      </c>
      <c r="B2103" s="656" t="s">
        <v>33</v>
      </c>
      <c r="C2103" s="655" t="s">
        <v>2793</v>
      </c>
      <c r="D2103" s="656" t="s">
        <v>3037</v>
      </c>
      <c r="E2103" s="656" t="s">
        <v>3024</v>
      </c>
      <c r="F2103" s="655">
        <v>63281</v>
      </c>
      <c r="G2103" s="656" t="s">
        <v>81</v>
      </c>
      <c r="H2103" s="656" t="s">
        <v>1183</v>
      </c>
      <c r="I2103" s="656" t="s">
        <v>58</v>
      </c>
      <c r="J2103" s="655">
        <v>22</v>
      </c>
      <c r="K2103" s="655">
        <v>2</v>
      </c>
      <c r="L2103" s="656" t="s">
        <v>52</v>
      </c>
      <c r="M2103" s="656" t="s">
        <v>448</v>
      </c>
      <c r="N2103" s="656" t="s">
        <v>449</v>
      </c>
      <c r="O2103" s="656" t="s">
        <v>449</v>
      </c>
      <c r="P2103" s="656" t="s">
        <v>1176</v>
      </c>
      <c r="Q2103" s="657">
        <v>0</v>
      </c>
      <c r="R2103" s="657">
        <v>0</v>
      </c>
      <c r="S2103" s="657">
        <v>13398</v>
      </c>
      <c r="T2103" s="657">
        <v>13398</v>
      </c>
      <c r="U2103" s="657">
        <v>1515</v>
      </c>
      <c r="V2103" s="655">
        <v>2021</v>
      </c>
      <c r="W2103" s="659"/>
      <c r="X2103" s="660">
        <f t="shared" si="98"/>
        <v>8.8435643564356443</v>
      </c>
      <c r="Y2103" s="661" t="str">
        <f t="shared" si="96"/>
        <v/>
      </c>
      <c r="Z2103" s="661" t="str">
        <f t="shared" si="97"/>
        <v/>
      </c>
    </row>
    <row r="2104" spans="1:26" s="128" customFormat="1">
      <c r="A2104" s="655">
        <v>63588</v>
      </c>
      <c r="B2104" s="656" t="s">
        <v>33</v>
      </c>
      <c r="C2104" s="655" t="s">
        <v>2793</v>
      </c>
      <c r="D2104" s="656" t="s">
        <v>3038</v>
      </c>
      <c r="E2104" s="656" t="s">
        <v>3024</v>
      </c>
      <c r="F2104" s="655">
        <v>63281</v>
      </c>
      <c r="G2104" s="656" t="s">
        <v>81</v>
      </c>
      <c r="H2104" s="656" t="s">
        <v>1183</v>
      </c>
      <c r="I2104" s="656" t="s">
        <v>58</v>
      </c>
      <c r="J2104" s="655">
        <v>22</v>
      </c>
      <c r="K2104" s="655">
        <v>2</v>
      </c>
      <c r="L2104" s="656" t="s">
        <v>52</v>
      </c>
      <c r="M2104" s="656" t="s">
        <v>448</v>
      </c>
      <c r="N2104" s="656" t="s">
        <v>449</v>
      </c>
      <c r="O2104" s="656" t="s">
        <v>449</v>
      </c>
      <c r="P2104" s="656" t="s">
        <v>1176</v>
      </c>
      <c r="Q2104" s="657">
        <v>0</v>
      </c>
      <c r="R2104" s="657">
        <v>0</v>
      </c>
      <c r="S2104" s="657">
        <v>29110</v>
      </c>
      <c r="T2104" s="657">
        <v>29110</v>
      </c>
      <c r="U2104" s="657">
        <v>3292</v>
      </c>
      <c r="V2104" s="655">
        <v>2021</v>
      </c>
      <c r="W2104" s="659"/>
      <c r="X2104" s="660">
        <f t="shared" si="98"/>
        <v>8.8426488456865133</v>
      </c>
      <c r="Y2104" s="661" t="str">
        <f t="shared" si="96"/>
        <v/>
      </c>
      <c r="Z2104" s="661" t="str">
        <f t="shared" si="97"/>
        <v/>
      </c>
    </row>
    <row r="2105" spans="1:26" s="128" customFormat="1" ht="25">
      <c r="A2105" s="655">
        <v>63589</v>
      </c>
      <c r="B2105" s="656" t="s">
        <v>33</v>
      </c>
      <c r="C2105" s="655" t="s">
        <v>2793</v>
      </c>
      <c r="D2105" s="656" t="s">
        <v>3039</v>
      </c>
      <c r="E2105" s="656" t="s">
        <v>3024</v>
      </c>
      <c r="F2105" s="655">
        <v>63281</v>
      </c>
      <c r="G2105" s="656" t="s">
        <v>81</v>
      </c>
      <c r="H2105" s="656" t="s">
        <v>1183</v>
      </c>
      <c r="I2105" s="656" t="s">
        <v>58</v>
      </c>
      <c r="J2105" s="655">
        <v>22</v>
      </c>
      <c r="K2105" s="655">
        <v>2</v>
      </c>
      <c r="L2105" s="656" t="s">
        <v>52</v>
      </c>
      <c r="M2105" s="656" t="s">
        <v>448</v>
      </c>
      <c r="N2105" s="656" t="s">
        <v>449</v>
      </c>
      <c r="O2105" s="656" t="s">
        <v>449</v>
      </c>
      <c r="P2105" s="656" t="s">
        <v>1176</v>
      </c>
      <c r="Q2105" s="657">
        <v>0</v>
      </c>
      <c r="R2105" s="657">
        <v>0</v>
      </c>
      <c r="S2105" s="657">
        <v>14264</v>
      </c>
      <c r="T2105" s="657">
        <v>14264</v>
      </c>
      <c r="U2105" s="657">
        <v>1613</v>
      </c>
      <c r="V2105" s="655">
        <v>2021</v>
      </c>
      <c r="W2105" s="659"/>
      <c r="X2105" s="660">
        <f t="shared" si="98"/>
        <v>8.8431494110353377</v>
      </c>
      <c r="Y2105" s="661" t="str">
        <f t="shared" si="96"/>
        <v/>
      </c>
      <c r="Z2105" s="661" t="str">
        <f t="shared" si="97"/>
        <v/>
      </c>
    </row>
    <row r="2106" spans="1:26" s="128" customFormat="1" hidden="1">
      <c r="A2106" s="655">
        <v>63592</v>
      </c>
      <c r="B2106" s="656" t="s">
        <v>33</v>
      </c>
      <c r="C2106" s="655" t="s">
        <v>2793</v>
      </c>
      <c r="D2106" s="656" t="s">
        <v>3205</v>
      </c>
      <c r="E2106" s="656" t="s">
        <v>3206</v>
      </c>
      <c r="F2106" s="655">
        <v>63294</v>
      </c>
      <c r="G2106" s="656" t="s">
        <v>41</v>
      </c>
      <c r="H2106" s="656" t="s">
        <v>1183</v>
      </c>
      <c r="I2106" s="656" t="s">
        <v>58</v>
      </c>
      <c r="J2106" s="655">
        <v>22</v>
      </c>
      <c r="K2106" s="655">
        <v>2</v>
      </c>
      <c r="L2106" s="656" t="s">
        <v>52</v>
      </c>
      <c r="M2106" s="656" t="s">
        <v>448</v>
      </c>
      <c r="N2106" s="656" t="s">
        <v>449</v>
      </c>
      <c r="O2106" s="656" t="s">
        <v>449</v>
      </c>
      <c r="P2106" s="656" t="s">
        <v>1176</v>
      </c>
      <c r="Q2106" s="657">
        <v>0</v>
      </c>
      <c r="R2106" s="657">
        <v>0</v>
      </c>
      <c r="S2106" s="657">
        <v>310610</v>
      </c>
      <c r="T2106" s="657">
        <v>310610</v>
      </c>
      <c r="U2106" s="657">
        <v>35125</v>
      </c>
      <c r="V2106" s="655">
        <v>2021</v>
      </c>
      <c r="W2106" s="659"/>
      <c r="X2106" s="660">
        <f t="shared" si="98"/>
        <v>8.8429893238434172</v>
      </c>
      <c r="Y2106" s="661" t="str">
        <f t="shared" si="96"/>
        <v/>
      </c>
      <c r="Z2106" s="661" t="str">
        <f t="shared" si="97"/>
        <v/>
      </c>
    </row>
    <row r="2107" spans="1:26" s="128" customFormat="1" ht="25" hidden="1">
      <c r="A2107" s="655">
        <v>63637</v>
      </c>
      <c r="B2107" s="656" t="s">
        <v>33</v>
      </c>
      <c r="C2107" s="655" t="s">
        <v>2793</v>
      </c>
      <c r="D2107" s="656" t="s">
        <v>3040</v>
      </c>
      <c r="E2107" s="656" t="s">
        <v>1795</v>
      </c>
      <c r="F2107" s="655">
        <v>57128</v>
      </c>
      <c r="G2107" s="656" t="s">
        <v>81</v>
      </c>
      <c r="H2107" s="656" t="s">
        <v>1183</v>
      </c>
      <c r="I2107" s="656" t="s">
        <v>58</v>
      </c>
      <c r="J2107" s="655">
        <v>711</v>
      </c>
      <c r="K2107" s="655">
        <v>4</v>
      </c>
      <c r="L2107" s="656" t="s">
        <v>412</v>
      </c>
      <c r="M2107" s="656" t="s">
        <v>1255</v>
      </c>
      <c r="N2107" s="656" t="s">
        <v>39</v>
      </c>
      <c r="O2107" s="656" t="s">
        <v>39</v>
      </c>
      <c r="P2107" s="656" t="s">
        <v>1037</v>
      </c>
      <c r="Q2107" s="657">
        <v>108326</v>
      </c>
      <c r="R2107" s="657">
        <v>108326</v>
      </c>
      <c r="S2107" s="657">
        <v>111577</v>
      </c>
      <c r="T2107" s="657">
        <v>111577</v>
      </c>
      <c r="U2107" s="657">
        <v>16162</v>
      </c>
      <c r="V2107" s="655">
        <v>2021</v>
      </c>
      <c r="W2107" s="659"/>
      <c r="X2107" s="660" t="str">
        <f t="shared" si="98"/>
        <v/>
      </c>
      <c r="Y2107" s="661" t="str">
        <f t="shared" si="96"/>
        <v/>
      </c>
      <c r="Z2107" s="661" t="str">
        <f t="shared" si="97"/>
        <v/>
      </c>
    </row>
    <row r="2108" spans="1:26" s="128" customFormat="1" ht="25" hidden="1">
      <c r="A2108" s="655">
        <v>63647</v>
      </c>
      <c r="B2108" s="656" t="s">
        <v>33</v>
      </c>
      <c r="C2108" s="655" t="s">
        <v>2793</v>
      </c>
      <c r="D2108" s="656" t="s">
        <v>3041</v>
      </c>
      <c r="E2108" s="656" t="s">
        <v>3042</v>
      </c>
      <c r="F2108" s="655">
        <v>62150</v>
      </c>
      <c r="G2108" s="656" t="s">
        <v>57</v>
      </c>
      <c r="H2108" s="656" t="s">
        <v>1182</v>
      </c>
      <c r="I2108" s="656" t="s">
        <v>58</v>
      </c>
      <c r="J2108" s="655">
        <v>22</v>
      </c>
      <c r="K2108" s="655">
        <v>2</v>
      </c>
      <c r="L2108" s="656" t="s">
        <v>52</v>
      </c>
      <c r="M2108" s="656" t="s">
        <v>1255</v>
      </c>
      <c r="N2108" s="656" t="s">
        <v>39</v>
      </c>
      <c r="O2108" s="656" t="s">
        <v>39</v>
      </c>
      <c r="P2108" s="656" t="s">
        <v>1037</v>
      </c>
      <c r="Q2108" s="657">
        <v>91641</v>
      </c>
      <c r="R2108" s="657">
        <v>91641</v>
      </c>
      <c r="S2108" s="657">
        <v>94390</v>
      </c>
      <c r="T2108" s="657">
        <v>94390</v>
      </c>
      <c r="U2108" s="657">
        <v>12646</v>
      </c>
      <c r="V2108" s="655">
        <v>2021</v>
      </c>
      <c r="W2108" s="659"/>
      <c r="X2108" s="660">
        <f t="shared" si="98"/>
        <v>7.4640202435552743</v>
      </c>
      <c r="Y2108" s="661" t="str">
        <f t="shared" si="96"/>
        <v/>
      </c>
      <c r="Z2108" s="661" t="str">
        <f t="shared" si="97"/>
        <v/>
      </c>
    </row>
    <row r="2109" spans="1:26" s="128" customFormat="1" ht="25" hidden="1">
      <c r="A2109" s="655">
        <v>63648</v>
      </c>
      <c r="B2109" s="656" t="s">
        <v>33</v>
      </c>
      <c r="C2109" s="655" t="s">
        <v>2793</v>
      </c>
      <c r="D2109" s="656" t="s">
        <v>3043</v>
      </c>
      <c r="E2109" s="656" t="s">
        <v>3042</v>
      </c>
      <c r="F2109" s="655">
        <v>62150</v>
      </c>
      <c r="G2109" s="656" t="s">
        <v>57</v>
      </c>
      <c r="H2109" s="656" t="s">
        <v>1182</v>
      </c>
      <c r="I2109" s="656" t="s">
        <v>58</v>
      </c>
      <c r="J2109" s="655">
        <v>22</v>
      </c>
      <c r="K2109" s="655">
        <v>2</v>
      </c>
      <c r="L2109" s="656" t="s">
        <v>52</v>
      </c>
      <c r="M2109" s="656" t="s">
        <v>1255</v>
      </c>
      <c r="N2109" s="656" t="s">
        <v>39</v>
      </c>
      <c r="O2109" s="656" t="s">
        <v>39</v>
      </c>
      <c r="P2109" s="656" t="s">
        <v>1037</v>
      </c>
      <c r="Q2109" s="657">
        <v>60924</v>
      </c>
      <c r="R2109" s="657">
        <v>60924</v>
      </c>
      <c r="S2109" s="657">
        <v>62751</v>
      </c>
      <c r="T2109" s="657">
        <v>62751</v>
      </c>
      <c r="U2109" s="657">
        <v>8443</v>
      </c>
      <c r="V2109" s="655">
        <v>2021</v>
      </c>
      <c r="W2109" s="659"/>
      <c r="X2109" s="660">
        <f t="shared" si="98"/>
        <v>7.4323107900035534</v>
      </c>
      <c r="Y2109" s="661" t="str">
        <f t="shared" si="96"/>
        <v/>
      </c>
      <c r="Z2109" s="661" t="str">
        <f t="shared" si="97"/>
        <v/>
      </c>
    </row>
    <row r="2110" spans="1:26" s="128" customFormat="1" ht="25" hidden="1">
      <c r="A2110" s="655">
        <v>63649</v>
      </c>
      <c r="B2110" s="656" t="s">
        <v>33</v>
      </c>
      <c r="C2110" s="655" t="s">
        <v>2793</v>
      </c>
      <c r="D2110" s="656" t="s">
        <v>3044</v>
      </c>
      <c r="E2110" s="656" t="s">
        <v>3042</v>
      </c>
      <c r="F2110" s="655">
        <v>62150</v>
      </c>
      <c r="G2110" s="656" t="s">
        <v>57</v>
      </c>
      <c r="H2110" s="656" t="s">
        <v>1182</v>
      </c>
      <c r="I2110" s="656" t="s">
        <v>58</v>
      </c>
      <c r="J2110" s="655">
        <v>22</v>
      </c>
      <c r="K2110" s="655">
        <v>2</v>
      </c>
      <c r="L2110" s="656" t="s">
        <v>52</v>
      </c>
      <c r="M2110" s="656" t="s">
        <v>1255</v>
      </c>
      <c r="N2110" s="656" t="s">
        <v>39</v>
      </c>
      <c r="O2110" s="656" t="s">
        <v>39</v>
      </c>
      <c r="P2110" s="656" t="s">
        <v>1037</v>
      </c>
      <c r="Q2110" s="657">
        <v>56687</v>
      </c>
      <c r="R2110" s="657">
        <v>56687</v>
      </c>
      <c r="S2110" s="657">
        <v>58387</v>
      </c>
      <c r="T2110" s="657">
        <v>58387</v>
      </c>
      <c r="U2110" s="657">
        <v>8005</v>
      </c>
      <c r="V2110" s="655">
        <v>2021</v>
      </c>
      <c r="W2110" s="659"/>
      <c r="X2110" s="660">
        <f t="shared" si="98"/>
        <v>7.2938163647720176</v>
      </c>
      <c r="Y2110" s="661" t="str">
        <f t="shared" si="96"/>
        <v/>
      </c>
      <c r="Z2110" s="661" t="str">
        <f t="shared" si="97"/>
        <v/>
      </c>
    </row>
    <row r="2111" spans="1:26" s="128" customFormat="1">
      <c r="A2111" s="655">
        <v>63659</v>
      </c>
      <c r="B2111" s="656" t="s">
        <v>33</v>
      </c>
      <c r="C2111" s="655" t="s">
        <v>2793</v>
      </c>
      <c r="D2111" s="656" t="s">
        <v>3045</v>
      </c>
      <c r="E2111" s="656" t="s">
        <v>3046</v>
      </c>
      <c r="F2111" s="655">
        <v>63368</v>
      </c>
      <c r="G2111" s="656" t="s">
        <v>81</v>
      </c>
      <c r="H2111" s="656" t="s">
        <v>1183</v>
      </c>
      <c r="I2111" s="656" t="s">
        <v>58</v>
      </c>
      <c r="J2111" s="655">
        <v>22</v>
      </c>
      <c r="K2111" s="655">
        <v>2</v>
      </c>
      <c r="L2111" s="656" t="s">
        <v>52</v>
      </c>
      <c r="M2111" s="656" t="s">
        <v>448</v>
      </c>
      <c r="N2111" s="656" t="s">
        <v>449</v>
      </c>
      <c r="O2111" s="656" t="s">
        <v>449</v>
      </c>
      <c r="P2111" s="656" t="s">
        <v>1176</v>
      </c>
      <c r="Q2111" s="657">
        <v>0</v>
      </c>
      <c r="R2111" s="657">
        <v>0</v>
      </c>
      <c r="S2111" s="657">
        <v>29290</v>
      </c>
      <c r="T2111" s="657">
        <v>29290</v>
      </c>
      <c r="U2111" s="657">
        <v>3312</v>
      </c>
      <c r="V2111" s="655">
        <v>2021</v>
      </c>
      <c r="W2111" s="659"/>
      <c r="X2111" s="660">
        <f t="shared" si="98"/>
        <v>8.8435990338164245</v>
      </c>
      <c r="Y2111" s="661" t="str">
        <f t="shared" si="96"/>
        <v/>
      </c>
      <c r="Z2111" s="661" t="str">
        <f t="shared" si="97"/>
        <v/>
      </c>
    </row>
    <row r="2112" spans="1:26" s="128" customFormat="1" ht="25" hidden="1">
      <c r="A2112" s="655">
        <v>63661</v>
      </c>
      <c r="B2112" s="656" t="s">
        <v>33</v>
      </c>
      <c r="C2112" s="655" t="s">
        <v>2793</v>
      </c>
      <c r="D2112" s="656" t="s">
        <v>3418</v>
      </c>
      <c r="E2112" s="656" t="s">
        <v>3419</v>
      </c>
      <c r="F2112" s="655">
        <v>63369</v>
      </c>
      <c r="G2112" s="656" t="s">
        <v>57</v>
      </c>
      <c r="H2112" s="656" t="s">
        <v>1182</v>
      </c>
      <c r="I2112" s="656" t="s">
        <v>58</v>
      </c>
      <c r="J2112" s="655">
        <v>22</v>
      </c>
      <c r="K2112" s="655">
        <v>2</v>
      </c>
      <c r="L2112" s="656" t="s">
        <v>52</v>
      </c>
      <c r="M2112" s="656" t="s">
        <v>1255</v>
      </c>
      <c r="N2112" s="656" t="s">
        <v>39</v>
      </c>
      <c r="O2112" s="656" t="s">
        <v>39</v>
      </c>
      <c r="P2112" s="656" t="s">
        <v>1037</v>
      </c>
      <c r="Q2112" s="657">
        <v>20204</v>
      </c>
      <c r="R2112" s="657">
        <v>20204</v>
      </c>
      <c r="S2112" s="657">
        <v>21255</v>
      </c>
      <c r="T2112" s="657">
        <v>21255</v>
      </c>
      <c r="U2112" s="657">
        <v>380</v>
      </c>
      <c r="V2112" s="655">
        <v>2021</v>
      </c>
      <c r="W2112" s="659"/>
      <c r="X2112" s="660">
        <f t="shared" si="98"/>
        <v>55.934210526315788</v>
      </c>
      <c r="Y2112" s="661" t="str">
        <f t="shared" si="96"/>
        <v/>
      </c>
      <c r="Z2112" s="661" t="str">
        <f t="shared" si="97"/>
        <v/>
      </c>
    </row>
    <row r="2113" spans="1:26" s="128" customFormat="1" hidden="1">
      <c r="A2113" s="655">
        <v>63667</v>
      </c>
      <c r="B2113" s="656" t="s">
        <v>33</v>
      </c>
      <c r="C2113" s="655" t="s">
        <v>2793</v>
      </c>
      <c r="D2113" s="656" t="s">
        <v>3207</v>
      </c>
      <c r="E2113" s="656" t="s">
        <v>3208</v>
      </c>
      <c r="F2113" s="655">
        <v>63374</v>
      </c>
      <c r="G2113" s="656" t="s">
        <v>90</v>
      </c>
      <c r="H2113" s="656" t="s">
        <v>1183</v>
      </c>
      <c r="I2113" s="656" t="s">
        <v>58</v>
      </c>
      <c r="J2113" s="655">
        <v>22</v>
      </c>
      <c r="K2113" s="655">
        <v>2</v>
      </c>
      <c r="L2113" s="656" t="s">
        <v>52</v>
      </c>
      <c r="M2113" s="656" t="s">
        <v>448</v>
      </c>
      <c r="N2113" s="656" t="s">
        <v>449</v>
      </c>
      <c r="O2113" s="656" t="s">
        <v>449</v>
      </c>
      <c r="P2113" s="656" t="s">
        <v>1176</v>
      </c>
      <c r="Q2113" s="657">
        <v>0</v>
      </c>
      <c r="R2113" s="657">
        <v>0</v>
      </c>
      <c r="S2113" s="657">
        <v>774400</v>
      </c>
      <c r="T2113" s="657">
        <v>774400</v>
      </c>
      <c r="U2113" s="657">
        <v>87572</v>
      </c>
      <c r="V2113" s="655">
        <v>2021</v>
      </c>
      <c r="W2113" s="659"/>
      <c r="X2113" s="660">
        <f t="shared" si="98"/>
        <v>8.8430091810167628</v>
      </c>
      <c r="Y2113" s="661" t="str">
        <f t="shared" si="96"/>
        <v/>
      </c>
      <c r="Z2113" s="661" t="str">
        <f t="shared" si="97"/>
        <v/>
      </c>
    </row>
    <row r="2114" spans="1:26" s="128" customFormat="1" hidden="1">
      <c r="A2114" s="655">
        <v>63668</v>
      </c>
      <c r="B2114" s="656" t="s">
        <v>33</v>
      </c>
      <c r="C2114" s="655" t="s">
        <v>2793</v>
      </c>
      <c r="D2114" s="656" t="s">
        <v>3047</v>
      </c>
      <c r="E2114" s="656" t="s">
        <v>2210</v>
      </c>
      <c r="F2114" s="655">
        <v>61012</v>
      </c>
      <c r="G2114" s="656" t="s">
        <v>131</v>
      </c>
      <c r="H2114" s="656" t="s">
        <v>1183</v>
      </c>
      <c r="I2114" s="656" t="s">
        <v>58</v>
      </c>
      <c r="J2114" s="655">
        <v>22</v>
      </c>
      <c r="K2114" s="655">
        <v>2</v>
      </c>
      <c r="L2114" s="656" t="s">
        <v>52</v>
      </c>
      <c r="M2114" s="656" t="s">
        <v>448</v>
      </c>
      <c r="N2114" s="656" t="s">
        <v>449</v>
      </c>
      <c r="O2114" s="656" t="s">
        <v>449</v>
      </c>
      <c r="P2114" s="656" t="s">
        <v>1176</v>
      </c>
      <c r="Q2114" s="657">
        <v>0</v>
      </c>
      <c r="R2114" s="657">
        <v>0</v>
      </c>
      <c r="S2114" s="657">
        <v>294914</v>
      </c>
      <c r="T2114" s="657">
        <v>294914</v>
      </c>
      <c r="U2114" s="657">
        <v>33350</v>
      </c>
      <c r="V2114" s="655">
        <v>2021</v>
      </c>
      <c r="W2114" s="659"/>
      <c r="X2114" s="660">
        <f t="shared" si="98"/>
        <v>8.8429985007496246</v>
      </c>
      <c r="Y2114" s="661" t="str">
        <f t="shared" si="96"/>
        <v/>
      </c>
      <c r="Z2114" s="661" t="str">
        <f t="shared" si="97"/>
        <v/>
      </c>
    </row>
    <row r="2115" spans="1:26" s="128" customFormat="1">
      <c r="A2115" s="655">
        <v>63672</v>
      </c>
      <c r="B2115" s="656" t="s">
        <v>33</v>
      </c>
      <c r="C2115" s="655" t="s">
        <v>2793</v>
      </c>
      <c r="D2115" s="656" t="s">
        <v>3048</v>
      </c>
      <c r="E2115" s="656" t="s">
        <v>3049</v>
      </c>
      <c r="F2115" s="655">
        <v>63391</v>
      </c>
      <c r="G2115" s="656" t="s">
        <v>81</v>
      </c>
      <c r="H2115" s="656" t="s">
        <v>1183</v>
      </c>
      <c r="I2115" s="656" t="s">
        <v>58</v>
      </c>
      <c r="J2115" s="655">
        <v>22</v>
      </c>
      <c r="K2115" s="655">
        <v>2</v>
      </c>
      <c r="L2115" s="656" t="s">
        <v>52</v>
      </c>
      <c r="M2115" s="656" t="s">
        <v>448</v>
      </c>
      <c r="N2115" s="656" t="s">
        <v>449</v>
      </c>
      <c r="O2115" s="656" t="s">
        <v>449</v>
      </c>
      <c r="P2115" s="656" t="s">
        <v>1176</v>
      </c>
      <c r="Q2115" s="657">
        <v>0</v>
      </c>
      <c r="R2115" s="657">
        <v>0</v>
      </c>
      <c r="S2115" s="657">
        <v>35982</v>
      </c>
      <c r="T2115" s="657">
        <v>35982</v>
      </c>
      <c r="U2115" s="657">
        <v>4069</v>
      </c>
      <c r="V2115" s="655">
        <v>2021</v>
      </c>
      <c r="W2115" s="659"/>
      <c r="X2115" s="660">
        <f t="shared" si="98"/>
        <v>8.8429589579749326</v>
      </c>
      <c r="Y2115" s="661" t="str">
        <f t="shared" si="96"/>
        <v/>
      </c>
      <c r="Z2115" s="661" t="str">
        <f t="shared" si="97"/>
        <v/>
      </c>
    </row>
    <row r="2116" spans="1:26" s="128" customFormat="1" ht="25" hidden="1">
      <c r="A2116" s="655">
        <v>63673</v>
      </c>
      <c r="B2116" s="656" t="s">
        <v>54</v>
      </c>
      <c r="C2116" s="655" t="s">
        <v>2793</v>
      </c>
      <c r="D2116" s="656" t="s">
        <v>3050</v>
      </c>
      <c r="E2116" s="656" t="s">
        <v>3051</v>
      </c>
      <c r="F2116" s="655">
        <v>63392</v>
      </c>
      <c r="G2116" s="656" t="s">
        <v>41</v>
      </c>
      <c r="H2116" s="656" t="s">
        <v>1183</v>
      </c>
      <c r="I2116" s="656" t="s">
        <v>58</v>
      </c>
      <c r="J2116" s="655">
        <v>622</v>
      </c>
      <c r="K2116" s="655">
        <v>5</v>
      </c>
      <c r="L2116" s="656" t="s">
        <v>413</v>
      </c>
      <c r="M2116" s="656" t="s">
        <v>50</v>
      </c>
      <c r="N2116" s="656" t="s">
        <v>39</v>
      </c>
      <c r="O2116" s="656" t="s">
        <v>39</v>
      </c>
      <c r="P2116" s="656" t="s">
        <v>1037</v>
      </c>
      <c r="Q2116" s="657">
        <v>0</v>
      </c>
      <c r="R2116" s="657">
        <v>0</v>
      </c>
      <c r="S2116" s="657">
        <v>0</v>
      </c>
      <c r="T2116" s="657">
        <v>0</v>
      </c>
      <c r="U2116" s="657">
        <v>0</v>
      </c>
      <c r="V2116" s="655">
        <v>2021</v>
      </c>
      <c r="W2116" s="659"/>
      <c r="X2116" s="660" t="str">
        <f t="shared" si="98"/>
        <v/>
      </c>
      <c r="Y2116" s="661" t="str">
        <f t="shared" si="96"/>
        <v/>
      </c>
      <c r="Z2116" s="661" t="str">
        <f t="shared" si="97"/>
        <v/>
      </c>
    </row>
    <row r="2117" spans="1:26" s="128" customFormat="1" ht="25" hidden="1">
      <c r="A2117" s="655">
        <v>63673</v>
      </c>
      <c r="B2117" s="656" t="s">
        <v>54</v>
      </c>
      <c r="C2117" s="655" t="s">
        <v>2793</v>
      </c>
      <c r="D2117" s="656" t="s">
        <v>3050</v>
      </c>
      <c r="E2117" s="656" t="s">
        <v>3051</v>
      </c>
      <c r="F2117" s="655">
        <v>63392</v>
      </c>
      <c r="G2117" s="656" t="s">
        <v>41</v>
      </c>
      <c r="H2117" s="656" t="s">
        <v>1183</v>
      </c>
      <c r="I2117" s="656" t="s">
        <v>58</v>
      </c>
      <c r="J2117" s="655">
        <v>622</v>
      </c>
      <c r="K2117" s="655">
        <v>5</v>
      </c>
      <c r="L2117" s="656" t="s">
        <v>413</v>
      </c>
      <c r="M2117" s="656" t="s">
        <v>51</v>
      </c>
      <c r="N2117" s="656" t="s">
        <v>39</v>
      </c>
      <c r="O2117" s="656" t="s">
        <v>39</v>
      </c>
      <c r="P2117" s="656" t="s">
        <v>1037</v>
      </c>
      <c r="Q2117" s="657">
        <v>156433</v>
      </c>
      <c r="R2117" s="657">
        <v>156433</v>
      </c>
      <c r="S2117" s="657">
        <v>160188</v>
      </c>
      <c r="T2117" s="657">
        <v>160188</v>
      </c>
      <c r="U2117" s="657">
        <v>14641</v>
      </c>
      <c r="V2117" s="655">
        <v>2021</v>
      </c>
      <c r="W2117" s="659"/>
      <c r="X2117" s="660" t="str">
        <f t="shared" si="98"/>
        <v/>
      </c>
      <c r="Y2117" s="661" t="str">
        <f t="shared" si="96"/>
        <v/>
      </c>
      <c r="Z2117" s="661" t="str">
        <f t="shared" si="97"/>
        <v/>
      </c>
    </row>
    <row r="2118" spans="1:26" s="128" customFormat="1" hidden="1">
      <c r="A2118" s="655">
        <v>63675</v>
      </c>
      <c r="B2118" s="656" t="s">
        <v>33</v>
      </c>
      <c r="C2118" s="655" t="s">
        <v>2793</v>
      </c>
      <c r="D2118" s="656" t="s">
        <v>3209</v>
      </c>
      <c r="E2118" s="656" t="s">
        <v>3210</v>
      </c>
      <c r="F2118" s="655">
        <v>63394</v>
      </c>
      <c r="G2118" s="656" t="s">
        <v>57</v>
      </c>
      <c r="H2118" s="656" t="s">
        <v>1182</v>
      </c>
      <c r="I2118" s="656" t="s">
        <v>58</v>
      </c>
      <c r="J2118" s="655">
        <v>22</v>
      </c>
      <c r="K2118" s="655">
        <v>2</v>
      </c>
      <c r="L2118" s="656" t="s">
        <v>52</v>
      </c>
      <c r="M2118" s="656" t="s">
        <v>448</v>
      </c>
      <c r="N2118" s="656" t="s">
        <v>449</v>
      </c>
      <c r="O2118" s="656" t="s">
        <v>449</v>
      </c>
      <c r="P2118" s="656" t="s">
        <v>1176</v>
      </c>
      <c r="Q2118" s="657">
        <v>0</v>
      </c>
      <c r="R2118" s="657">
        <v>0</v>
      </c>
      <c r="S2118" s="657">
        <v>25212</v>
      </c>
      <c r="T2118" s="657">
        <v>25212</v>
      </c>
      <c r="U2118" s="657">
        <v>2851</v>
      </c>
      <c r="V2118" s="655">
        <v>2021</v>
      </c>
      <c r="W2118" s="659"/>
      <c r="X2118" s="660">
        <f t="shared" si="98"/>
        <v>8.8432129077516652</v>
      </c>
      <c r="Y2118" s="661" t="str">
        <f t="shared" si="96"/>
        <v/>
      </c>
      <c r="Z2118" s="661" t="str">
        <f t="shared" si="97"/>
        <v/>
      </c>
    </row>
    <row r="2119" spans="1:26" s="128" customFormat="1" ht="25">
      <c r="A2119" s="655">
        <v>63690</v>
      </c>
      <c r="B2119" s="656" t="s">
        <v>33</v>
      </c>
      <c r="C2119" s="655" t="s">
        <v>2793</v>
      </c>
      <c r="D2119" s="656" t="s">
        <v>3052</v>
      </c>
      <c r="E2119" s="656" t="s">
        <v>1657</v>
      </c>
      <c r="F2119" s="655">
        <v>58871</v>
      </c>
      <c r="G2119" s="656" t="s">
        <v>81</v>
      </c>
      <c r="H2119" s="656" t="s">
        <v>1183</v>
      </c>
      <c r="I2119" s="656" t="s">
        <v>58</v>
      </c>
      <c r="J2119" s="655">
        <v>22</v>
      </c>
      <c r="K2119" s="655">
        <v>2</v>
      </c>
      <c r="L2119" s="656" t="s">
        <v>52</v>
      </c>
      <c r="M2119" s="656" t="s">
        <v>448</v>
      </c>
      <c r="N2119" s="656" t="s">
        <v>449</v>
      </c>
      <c r="O2119" s="656" t="s">
        <v>449</v>
      </c>
      <c r="P2119" s="656" t="s">
        <v>1176</v>
      </c>
      <c r="Q2119" s="657">
        <v>0</v>
      </c>
      <c r="R2119" s="657">
        <v>0</v>
      </c>
      <c r="S2119" s="657">
        <v>48573</v>
      </c>
      <c r="T2119" s="657">
        <v>48573</v>
      </c>
      <c r="U2119" s="657">
        <v>5493</v>
      </c>
      <c r="V2119" s="655">
        <v>2021</v>
      </c>
      <c r="W2119" s="659"/>
      <c r="X2119" s="660">
        <f t="shared" si="98"/>
        <v>8.8427089022392131</v>
      </c>
      <c r="Y2119" s="661" t="str">
        <f t="shared" ref="Y2119:Y2182" si="99">IF(AND($M2119=$Y$2,$N2119=$Y$3,NOT($Q2119=$R2119),NOT($U2119=0)),IF($K2119=5,$S2119/($U2119+(8/5)*$U2119),IF($K2119=7,$S2119/($U2119+(29/25)*$U2119),"")),"")</f>
        <v/>
      </c>
      <c r="Z2119" s="661" t="str">
        <f t="shared" ref="Z2119:Z2182" si="100">IF(AND($M2119=$Y$2,$N2119=$Y$4,NOT($Q2119=$R2119),NOT($U2119=0)),IF($K2119=5,$S2119/($U2119+(8/5)*$U2119),IF($K2119=7,$S2119/($U2119+(29/25)*$U2119),"")),"")</f>
        <v/>
      </c>
    </row>
    <row r="2120" spans="1:26" s="128" customFormat="1" ht="25">
      <c r="A2120" s="655">
        <v>63697</v>
      </c>
      <c r="B2120" s="656" t="s">
        <v>33</v>
      </c>
      <c r="C2120" s="655" t="s">
        <v>2793</v>
      </c>
      <c r="D2120" s="656" t="s">
        <v>3053</v>
      </c>
      <c r="E2120" s="656" t="s">
        <v>3054</v>
      </c>
      <c r="F2120" s="655">
        <v>63409</v>
      </c>
      <c r="G2120" s="656" t="s">
        <v>81</v>
      </c>
      <c r="H2120" s="656" t="s">
        <v>1183</v>
      </c>
      <c r="I2120" s="656" t="s">
        <v>58</v>
      </c>
      <c r="J2120" s="655">
        <v>22</v>
      </c>
      <c r="K2120" s="655">
        <v>2</v>
      </c>
      <c r="L2120" s="656" t="s">
        <v>52</v>
      </c>
      <c r="M2120" s="656" t="s">
        <v>448</v>
      </c>
      <c r="N2120" s="656" t="s">
        <v>449</v>
      </c>
      <c r="O2120" s="656" t="s">
        <v>449</v>
      </c>
      <c r="P2120" s="656" t="s">
        <v>1176</v>
      </c>
      <c r="Q2120" s="657">
        <v>0</v>
      </c>
      <c r="R2120" s="657">
        <v>0</v>
      </c>
      <c r="S2120" s="657">
        <v>15412</v>
      </c>
      <c r="T2120" s="657">
        <v>15412</v>
      </c>
      <c r="U2120" s="657">
        <v>1743</v>
      </c>
      <c r="V2120" s="655">
        <v>2021</v>
      </c>
      <c r="W2120" s="659"/>
      <c r="X2120" s="660">
        <f t="shared" ref="X2120:X2183" si="101">IF(OR(K2120&gt;3,T2120=0,NOT(U2120&gt;0)),"",T2120/U2120)</f>
        <v>8.8422260470453242</v>
      </c>
      <c r="Y2120" s="661" t="str">
        <f t="shared" si="99"/>
        <v/>
      </c>
      <c r="Z2120" s="661" t="str">
        <f t="shared" si="100"/>
        <v/>
      </c>
    </row>
    <row r="2121" spans="1:26" s="128" customFormat="1" hidden="1">
      <c r="A2121" s="655">
        <v>63718</v>
      </c>
      <c r="B2121" s="656" t="s">
        <v>33</v>
      </c>
      <c r="C2121" s="655" t="s">
        <v>2793</v>
      </c>
      <c r="D2121" s="656" t="s">
        <v>3211</v>
      </c>
      <c r="E2121" s="656" t="s">
        <v>2247</v>
      </c>
      <c r="F2121" s="655">
        <v>61227</v>
      </c>
      <c r="G2121" s="656" t="s">
        <v>131</v>
      </c>
      <c r="H2121" s="656" t="s">
        <v>1183</v>
      </c>
      <c r="I2121" s="656" t="s">
        <v>58</v>
      </c>
      <c r="J2121" s="655">
        <v>22</v>
      </c>
      <c r="K2121" s="655">
        <v>2</v>
      </c>
      <c r="L2121" s="656" t="s">
        <v>52</v>
      </c>
      <c r="M2121" s="656" t="s">
        <v>448</v>
      </c>
      <c r="N2121" s="656" t="s">
        <v>449</v>
      </c>
      <c r="O2121" s="656" t="s">
        <v>449</v>
      </c>
      <c r="P2121" s="656" t="s">
        <v>1176</v>
      </c>
      <c r="Q2121" s="657">
        <v>0</v>
      </c>
      <c r="R2121" s="657">
        <v>0</v>
      </c>
      <c r="S2121" s="657">
        <v>37530</v>
      </c>
      <c r="T2121" s="657">
        <v>37530</v>
      </c>
      <c r="U2121" s="657">
        <v>4244</v>
      </c>
      <c r="V2121" s="655">
        <v>2021</v>
      </c>
      <c r="W2121" s="659"/>
      <c r="X2121" s="660">
        <f t="shared" si="101"/>
        <v>8.8430725730442976</v>
      </c>
      <c r="Y2121" s="661" t="str">
        <f t="shared" si="99"/>
        <v/>
      </c>
      <c r="Z2121" s="661" t="str">
        <f t="shared" si="100"/>
        <v/>
      </c>
    </row>
    <row r="2122" spans="1:26" s="128" customFormat="1" ht="25" hidden="1">
      <c r="A2122" s="655">
        <v>63729</v>
      </c>
      <c r="B2122" s="656" t="s">
        <v>33</v>
      </c>
      <c r="C2122" s="655" t="s">
        <v>2793</v>
      </c>
      <c r="D2122" s="656" t="s">
        <v>3420</v>
      </c>
      <c r="E2122" s="656" t="s">
        <v>1219</v>
      </c>
      <c r="F2122" s="655">
        <v>57365</v>
      </c>
      <c r="G2122" s="656" t="s">
        <v>57</v>
      </c>
      <c r="H2122" s="656" t="s">
        <v>1182</v>
      </c>
      <c r="I2122" s="656" t="s">
        <v>58</v>
      </c>
      <c r="J2122" s="655">
        <v>22</v>
      </c>
      <c r="K2122" s="655">
        <v>2</v>
      </c>
      <c r="L2122" s="656" t="s">
        <v>52</v>
      </c>
      <c r="M2122" s="656" t="s">
        <v>448</v>
      </c>
      <c r="N2122" s="656" t="s">
        <v>449</v>
      </c>
      <c r="O2122" s="656" t="s">
        <v>449</v>
      </c>
      <c r="P2122" s="656" t="s">
        <v>1176</v>
      </c>
      <c r="Q2122" s="657">
        <v>0</v>
      </c>
      <c r="R2122" s="657">
        <v>0</v>
      </c>
      <c r="S2122" s="657">
        <v>28794</v>
      </c>
      <c r="T2122" s="657">
        <v>28794</v>
      </c>
      <c r="U2122" s="657">
        <v>3256</v>
      </c>
      <c r="V2122" s="655">
        <v>2021</v>
      </c>
      <c r="W2122" s="659"/>
      <c r="X2122" s="660">
        <f t="shared" si="101"/>
        <v>8.8433660933660931</v>
      </c>
      <c r="Y2122" s="661" t="str">
        <f t="shared" si="99"/>
        <v/>
      </c>
      <c r="Z2122" s="661" t="str">
        <f t="shared" si="100"/>
        <v/>
      </c>
    </row>
    <row r="2123" spans="1:26" s="128" customFormat="1" hidden="1">
      <c r="A2123" s="655">
        <v>63747</v>
      </c>
      <c r="B2123" s="656" t="s">
        <v>33</v>
      </c>
      <c r="C2123" s="655" t="s">
        <v>2793</v>
      </c>
      <c r="D2123" s="656" t="s">
        <v>3421</v>
      </c>
      <c r="E2123" s="656" t="s">
        <v>3422</v>
      </c>
      <c r="F2123" s="655">
        <v>63441</v>
      </c>
      <c r="G2123" s="656" t="s">
        <v>57</v>
      </c>
      <c r="H2123" s="656" t="s">
        <v>1182</v>
      </c>
      <c r="I2123" s="656" t="s">
        <v>58</v>
      </c>
      <c r="J2123" s="655">
        <v>22</v>
      </c>
      <c r="K2123" s="655">
        <v>2</v>
      </c>
      <c r="L2123" s="656" t="s">
        <v>52</v>
      </c>
      <c r="M2123" s="656" t="s">
        <v>448</v>
      </c>
      <c r="N2123" s="656" t="s">
        <v>449</v>
      </c>
      <c r="O2123" s="656" t="s">
        <v>449</v>
      </c>
      <c r="P2123" s="656" t="s">
        <v>1176</v>
      </c>
      <c r="Q2123" s="657">
        <v>0</v>
      </c>
      <c r="R2123" s="657">
        <v>0</v>
      </c>
      <c r="S2123" s="657">
        <v>12105</v>
      </c>
      <c r="T2123" s="657">
        <v>12105</v>
      </c>
      <c r="U2123" s="657">
        <v>1369</v>
      </c>
      <c r="V2123" s="655">
        <v>2021</v>
      </c>
      <c r="W2123" s="659"/>
      <c r="X2123" s="660">
        <f t="shared" si="101"/>
        <v>8.8422205989773559</v>
      </c>
      <c r="Y2123" s="661" t="str">
        <f t="shared" si="99"/>
        <v/>
      </c>
      <c r="Z2123" s="661" t="str">
        <f t="shared" si="100"/>
        <v/>
      </c>
    </row>
    <row r="2124" spans="1:26" s="128" customFormat="1" hidden="1">
      <c r="A2124" s="655">
        <v>63748</v>
      </c>
      <c r="B2124" s="656" t="s">
        <v>33</v>
      </c>
      <c r="C2124" s="655" t="s">
        <v>2793</v>
      </c>
      <c r="D2124" s="656" t="s">
        <v>3212</v>
      </c>
      <c r="E2124" s="656" t="s">
        <v>3213</v>
      </c>
      <c r="F2124" s="655">
        <v>63442</v>
      </c>
      <c r="G2124" s="656" t="s">
        <v>57</v>
      </c>
      <c r="H2124" s="656" t="s">
        <v>1182</v>
      </c>
      <c r="I2124" s="656" t="s">
        <v>58</v>
      </c>
      <c r="J2124" s="655">
        <v>22</v>
      </c>
      <c r="K2124" s="655">
        <v>2</v>
      </c>
      <c r="L2124" s="656" t="s">
        <v>52</v>
      </c>
      <c r="M2124" s="656" t="s">
        <v>448</v>
      </c>
      <c r="N2124" s="656" t="s">
        <v>449</v>
      </c>
      <c r="O2124" s="656" t="s">
        <v>449</v>
      </c>
      <c r="P2124" s="656" t="s">
        <v>1176</v>
      </c>
      <c r="Q2124" s="657">
        <v>0</v>
      </c>
      <c r="R2124" s="657">
        <v>0</v>
      </c>
      <c r="S2124" s="657">
        <v>33301</v>
      </c>
      <c r="T2124" s="657">
        <v>33301</v>
      </c>
      <c r="U2124" s="657">
        <v>3766</v>
      </c>
      <c r="V2124" s="655">
        <v>2021</v>
      </c>
      <c r="W2124" s="659"/>
      <c r="X2124" s="660">
        <f t="shared" si="101"/>
        <v>8.8425385023898038</v>
      </c>
      <c r="Y2124" s="661" t="str">
        <f t="shared" si="99"/>
        <v/>
      </c>
      <c r="Z2124" s="661" t="str">
        <f t="shared" si="100"/>
        <v/>
      </c>
    </row>
    <row r="2125" spans="1:26" s="128" customFormat="1" hidden="1">
      <c r="A2125" s="655">
        <v>63749</v>
      </c>
      <c r="B2125" s="656" t="s">
        <v>33</v>
      </c>
      <c r="C2125" s="655" t="s">
        <v>2793</v>
      </c>
      <c r="D2125" s="656" t="s">
        <v>3055</v>
      </c>
      <c r="E2125" s="656" t="s">
        <v>3056</v>
      </c>
      <c r="F2125" s="655">
        <v>63443</v>
      </c>
      <c r="G2125" s="656" t="s">
        <v>57</v>
      </c>
      <c r="H2125" s="656" t="s">
        <v>1182</v>
      </c>
      <c r="I2125" s="656" t="s">
        <v>58</v>
      </c>
      <c r="J2125" s="655">
        <v>22</v>
      </c>
      <c r="K2125" s="655">
        <v>2</v>
      </c>
      <c r="L2125" s="656" t="s">
        <v>52</v>
      </c>
      <c r="M2125" s="656" t="s">
        <v>448</v>
      </c>
      <c r="N2125" s="656" t="s">
        <v>449</v>
      </c>
      <c r="O2125" s="656" t="s">
        <v>449</v>
      </c>
      <c r="P2125" s="656" t="s">
        <v>1176</v>
      </c>
      <c r="Q2125" s="657">
        <v>0</v>
      </c>
      <c r="R2125" s="657">
        <v>0</v>
      </c>
      <c r="S2125" s="657">
        <v>30676</v>
      </c>
      <c r="T2125" s="657">
        <v>30676</v>
      </c>
      <c r="U2125" s="657">
        <v>3469</v>
      </c>
      <c r="V2125" s="655">
        <v>2021</v>
      </c>
      <c r="W2125" s="659"/>
      <c r="X2125" s="660">
        <f t="shared" si="101"/>
        <v>8.8428942058230042</v>
      </c>
      <c r="Y2125" s="661" t="str">
        <f t="shared" si="99"/>
        <v/>
      </c>
      <c r="Z2125" s="661" t="str">
        <f t="shared" si="100"/>
        <v/>
      </c>
    </row>
    <row r="2126" spans="1:26" s="128" customFormat="1" hidden="1">
      <c r="A2126" s="655">
        <v>63750</v>
      </c>
      <c r="B2126" s="656" t="s">
        <v>33</v>
      </c>
      <c r="C2126" s="655" t="s">
        <v>2793</v>
      </c>
      <c r="D2126" s="656" t="s">
        <v>3057</v>
      </c>
      <c r="E2126" s="656" t="s">
        <v>3058</v>
      </c>
      <c r="F2126" s="655">
        <v>63444</v>
      </c>
      <c r="G2126" s="656" t="s">
        <v>57</v>
      </c>
      <c r="H2126" s="656" t="s">
        <v>1182</v>
      </c>
      <c r="I2126" s="656" t="s">
        <v>58</v>
      </c>
      <c r="J2126" s="655">
        <v>22</v>
      </c>
      <c r="K2126" s="655">
        <v>2</v>
      </c>
      <c r="L2126" s="656" t="s">
        <v>52</v>
      </c>
      <c r="M2126" s="656" t="s">
        <v>448</v>
      </c>
      <c r="N2126" s="656" t="s">
        <v>449</v>
      </c>
      <c r="O2126" s="656" t="s">
        <v>449</v>
      </c>
      <c r="P2126" s="656" t="s">
        <v>1176</v>
      </c>
      <c r="Q2126" s="657">
        <v>0</v>
      </c>
      <c r="R2126" s="657">
        <v>0</v>
      </c>
      <c r="S2126" s="657">
        <v>23780</v>
      </c>
      <c r="T2126" s="657">
        <v>23780</v>
      </c>
      <c r="U2126" s="657">
        <v>2689</v>
      </c>
      <c r="V2126" s="655">
        <v>2021</v>
      </c>
      <c r="W2126" s="659"/>
      <c r="X2126" s="660">
        <f t="shared" si="101"/>
        <v>8.8434362216437332</v>
      </c>
      <c r="Y2126" s="661" t="str">
        <f t="shared" si="99"/>
        <v/>
      </c>
      <c r="Z2126" s="661" t="str">
        <f t="shared" si="100"/>
        <v/>
      </c>
    </row>
    <row r="2127" spans="1:26" s="128" customFormat="1" hidden="1">
      <c r="A2127" s="655">
        <v>63751</v>
      </c>
      <c r="B2127" s="656" t="s">
        <v>33</v>
      </c>
      <c r="C2127" s="655" t="s">
        <v>2793</v>
      </c>
      <c r="D2127" s="656" t="s">
        <v>3059</v>
      </c>
      <c r="E2127" s="656" t="s">
        <v>3060</v>
      </c>
      <c r="F2127" s="655">
        <v>63445</v>
      </c>
      <c r="G2127" s="656" t="s">
        <v>57</v>
      </c>
      <c r="H2127" s="656" t="s">
        <v>1182</v>
      </c>
      <c r="I2127" s="656" t="s">
        <v>58</v>
      </c>
      <c r="J2127" s="655">
        <v>22</v>
      </c>
      <c r="K2127" s="655">
        <v>2</v>
      </c>
      <c r="L2127" s="656" t="s">
        <v>52</v>
      </c>
      <c r="M2127" s="656" t="s">
        <v>448</v>
      </c>
      <c r="N2127" s="656" t="s">
        <v>449</v>
      </c>
      <c r="O2127" s="656" t="s">
        <v>449</v>
      </c>
      <c r="P2127" s="656" t="s">
        <v>1176</v>
      </c>
      <c r="Q2127" s="657">
        <v>0</v>
      </c>
      <c r="R2127" s="657">
        <v>0</v>
      </c>
      <c r="S2127" s="657">
        <v>29553</v>
      </c>
      <c r="T2127" s="657">
        <v>29553</v>
      </c>
      <c r="U2127" s="657">
        <v>3342</v>
      </c>
      <c r="V2127" s="655">
        <v>2021</v>
      </c>
      <c r="W2127" s="659"/>
      <c r="X2127" s="660">
        <f t="shared" si="101"/>
        <v>8.8429084380610412</v>
      </c>
      <c r="Y2127" s="661" t="str">
        <f t="shared" si="99"/>
        <v/>
      </c>
      <c r="Z2127" s="661" t="str">
        <f t="shared" si="100"/>
        <v/>
      </c>
    </row>
    <row r="2128" spans="1:26" s="128" customFormat="1" hidden="1">
      <c r="A2128" s="655">
        <v>63752</v>
      </c>
      <c r="B2128" s="656" t="s">
        <v>33</v>
      </c>
      <c r="C2128" s="655" t="s">
        <v>2793</v>
      </c>
      <c r="D2128" s="656" t="s">
        <v>3061</v>
      </c>
      <c r="E2128" s="656" t="s">
        <v>3062</v>
      </c>
      <c r="F2128" s="655">
        <v>63446</v>
      </c>
      <c r="G2128" s="656" t="s">
        <v>57</v>
      </c>
      <c r="H2128" s="656" t="s">
        <v>1182</v>
      </c>
      <c r="I2128" s="656" t="s">
        <v>58</v>
      </c>
      <c r="J2128" s="655">
        <v>22</v>
      </c>
      <c r="K2128" s="655">
        <v>2</v>
      </c>
      <c r="L2128" s="656" t="s">
        <v>52</v>
      </c>
      <c r="M2128" s="656" t="s">
        <v>448</v>
      </c>
      <c r="N2128" s="656" t="s">
        <v>449</v>
      </c>
      <c r="O2128" s="656" t="s">
        <v>449</v>
      </c>
      <c r="P2128" s="656" t="s">
        <v>1176</v>
      </c>
      <c r="Q2128" s="657">
        <v>0</v>
      </c>
      <c r="R2128" s="657">
        <v>0</v>
      </c>
      <c r="S2128" s="657">
        <v>30508</v>
      </c>
      <c r="T2128" s="657">
        <v>30508</v>
      </c>
      <c r="U2128" s="657">
        <v>3450</v>
      </c>
      <c r="V2128" s="655">
        <v>2021</v>
      </c>
      <c r="W2128" s="659"/>
      <c r="X2128" s="660">
        <f t="shared" si="101"/>
        <v>8.8428985507246374</v>
      </c>
      <c r="Y2128" s="661" t="str">
        <f t="shared" si="99"/>
        <v/>
      </c>
      <c r="Z2128" s="661" t="str">
        <f t="shared" si="100"/>
        <v/>
      </c>
    </row>
    <row r="2129" spans="1:26" s="128" customFormat="1" ht="25">
      <c r="A2129" s="655">
        <v>63763</v>
      </c>
      <c r="B2129" s="656" t="s">
        <v>33</v>
      </c>
      <c r="C2129" s="655" t="s">
        <v>2793</v>
      </c>
      <c r="D2129" s="656" t="s">
        <v>3423</v>
      </c>
      <c r="E2129" s="656" t="s">
        <v>3424</v>
      </c>
      <c r="F2129" s="655">
        <v>64541</v>
      </c>
      <c r="G2129" s="656" t="s">
        <v>81</v>
      </c>
      <c r="H2129" s="656" t="s">
        <v>1183</v>
      </c>
      <c r="I2129" s="656" t="s">
        <v>58</v>
      </c>
      <c r="J2129" s="655">
        <v>22</v>
      </c>
      <c r="K2129" s="655">
        <v>2</v>
      </c>
      <c r="L2129" s="656" t="s">
        <v>52</v>
      </c>
      <c r="M2129" s="656" t="s">
        <v>1890</v>
      </c>
      <c r="N2129" s="656" t="s">
        <v>1052</v>
      </c>
      <c r="O2129" s="656" t="s">
        <v>82</v>
      </c>
      <c r="P2129" s="656" t="s">
        <v>2794</v>
      </c>
      <c r="Q2129" s="657">
        <v>0</v>
      </c>
      <c r="R2129" s="657">
        <v>0</v>
      </c>
      <c r="S2129" s="657">
        <v>0</v>
      </c>
      <c r="T2129" s="657">
        <v>0</v>
      </c>
      <c r="U2129" s="657">
        <v>0</v>
      </c>
      <c r="V2129" s="655">
        <v>2021</v>
      </c>
      <c r="W2129" s="659"/>
      <c r="X2129" s="660" t="str">
        <f t="shared" si="101"/>
        <v/>
      </c>
      <c r="Y2129" s="661" t="str">
        <f t="shared" si="99"/>
        <v/>
      </c>
      <c r="Z2129" s="661" t="str">
        <f t="shared" si="100"/>
        <v/>
      </c>
    </row>
    <row r="2130" spans="1:26" s="128" customFormat="1" ht="25">
      <c r="A2130" s="655">
        <v>63763</v>
      </c>
      <c r="B2130" s="656" t="s">
        <v>33</v>
      </c>
      <c r="C2130" s="655" t="s">
        <v>2793</v>
      </c>
      <c r="D2130" s="656" t="s">
        <v>3423</v>
      </c>
      <c r="E2130" s="656" t="s">
        <v>3424</v>
      </c>
      <c r="F2130" s="655">
        <v>64541</v>
      </c>
      <c r="G2130" s="656" t="s">
        <v>81</v>
      </c>
      <c r="H2130" s="656" t="s">
        <v>1183</v>
      </c>
      <c r="I2130" s="656" t="s">
        <v>58</v>
      </c>
      <c r="J2130" s="655">
        <v>22</v>
      </c>
      <c r="K2130" s="655">
        <v>2</v>
      </c>
      <c r="L2130" s="656" t="s">
        <v>52</v>
      </c>
      <c r="M2130" s="656" t="s">
        <v>448</v>
      </c>
      <c r="N2130" s="656" t="s">
        <v>449</v>
      </c>
      <c r="O2130" s="656" t="s">
        <v>449</v>
      </c>
      <c r="P2130" s="656" t="s">
        <v>1176</v>
      </c>
      <c r="Q2130" s="657">
        <v>0</v>
      </c>
      <c r="R2130" s="657">
        <v>0</v>
      </c>
      <c r="S2130" s="657">
        <v>310</v>
      </c>
      <c r="T2130" s="657">
        <v>310</v>
      </c>
      <c r="U2130" s="657">
        <v>35</v>
      </c>
      <c r="V2130" s="655">
        <v>2021</v>
      </c>
      <c r="W2130" s="659"/>
      <c r="X2130" s="660">
        <f t="shared" si="101"/>
        <v>8.8571428571428577</v>
      </c>
      <c r="Y2130" s="661" t="str">
        <f t="shared" si="99"/>
        <v/>
      </c>
      <c r="Z2130" s="661" t="str">
        <f t="shared" si="100"/>
        <v/>
      </c>
    </row>
    <row r="2131" spans="1:26" s="128" customFormat="1" hidden="1">
      <c r="A2131" s="655">
        <v>63772</v>
      </c>
      <c r="B2131" s="656" t="s">
        <v>33</v>
      </c>
      <c r="C2131" s="655" t="s">
        <v>2793</v>
      </c>
      <c r="D2131" s="656" t="s">
        <v>3063</v>
      </c>
      <c r="E2131" s="656" t="s">
        <v>2157</v>
      </c>
      <c r="F2131" s="655">
        <v>61060</v>
      </c>
      <c r="G2131" s="656" t="s">
        <v>57</v>
      </c>
      <c r="H2131" s="656" t="s">
        <v>1182</v>
      </c>
      <c r="I2131" s="656" t="s">
        <v>58</v>
      </c>
      <c r="J2131" s="655">
        <v>22</v>
      </c>
      <c r="K2131" s="655">
        <v>2</v>
      </c>
      <c r="L2131" s="656" t="s">
        <v>52</v>
      </c>
      <c r="M2131" s="656" t="s">
        <v>448</v>
      </c>
      <c r="N2131" s="656" t="s">
        <v>449</v>
      </c>
      <c r="O2131" s="656" t="s">
        <v>449</v>
      </c>
      <c r="P2131" s="656" t="s">
        <v>1176</v>
      </c>
      <c r="Q2131" s="657">
        <v>0</v>
      </c>
      <c r="R2131" s="657">
        <v>0</v>
      </c>
      <c r="S2131" s="657">
        <v>14537</v>
      </c>
      <c r="T2131" s="657">
        <v>14537</v>
      </c>
      <c r="U2131" s="657">
        <v>1644</v>
      </c>
      <c r="V2131" s="655">
        <v>2021</v>
      </c>
      <c r="W2131" s="659"/>
      <c r="X2131" s="660">
        <f t="shared" si="101"/>
        <v>8.8424574209245748</v>
      </c>
      <c r="Y2131" s="661" t="str">
        <f t="shared" si="99"/>
        <v/>
      </c>
      <c r="Z2131" s="661" t="str">
        <f t="shared" si="100"/>
        <v/>
      </c>
    </row>
    <row r="2132" spans="1:26" s="128" customFormat="1" hidden="1">
      <c r="A2132" s="655">
        <v>63780</v>
      </c>
      <c r="B2132" s="656" t="s">
        <v>33</v>
      </c>
      <c r="C2132" s="655" t="s">
        <v>2793</v>
      </c>
      <c r="D2132" s="656" t="s">
        <v>3214</v>
      </c>
      <c r="E2132" s="656" t="s">
        <v>3214</v>
      </c>
      <c r="F2132" s="655">
        <v>63461</v>
      </c>
      <c r="G2132" s="656" t="s">
        <v>57</v>
      </c>
      <c r="H2132" s="656" t="s">
        <v>1182</v>
      </c>
      <c r="I2132" s="656" t="s">
        <v>58</v>
      </c>
      <c r="J2132" s="655">
        <v>22</v>
      </c>
      <c r="K2132" s="655">
        <v>2</v>
      </c>
      <c r="L2132" s="656" t="s">
        <v>52</v>
      </c>
      <c r="M2132" s="656" t="s">
        <v>448</v>
      </c>
      <c r="N2132" s="656" t="s">
        <v>449</v>
      </c>
      <c r="O2132" s="656" t="s">
        <v>449</v>
      </c>
      <c r="P2132" s="656" t="s">
        <v>1176</v>
      </c>
      <c r="Q2132" s="657">
        <v>0</v>
      </c>
      <c r="R2132" s="657">
        <v>0</v>
      </c>
      <c r="S2132" s="657">
        <v>20639</v>
      </c>
      <c r="T2132" s="657">
        <v>20639</v>
      </c>
      <c r="U2132" s="657">
        <v>2334</v>
      </c>
      <c r="V2132" s="655">
        <v>2021</v>
      </c>
      <c r="W2132" s="659"/>
      <c r="X2132" s="660">
        <f t="shared" si="101"/>
        <v>8.8427592116538136</v>
      </c>
      <c r="Y2132" s="661" t="str">
        <f t="shared" si="99"/>
        <v/>
      </c>
      <c r="Z2132" s="661" t="str">
        <f t="shared" si="100"/>
        <v/>
      </c>
    </row>
    <row r="2133" spans="1:26" s="128" customFormat="1" hidden="1">
      <c r="A2133" s="655">
        <v>63781</v>
      </c>
      <c r="B2133" s="656" t="s">
        <v>33</v>
      </c>
      <c r="C2133" s="655" t="s">
        <v>2793</v>
      </c>
      <c r="D2133" s="656" t="s">
        <v>3215</v>
      </c>
      <c r="E2133" s="656" t="s">
        <v>3215</v>
      </c>
      <c r="F2133" s="655">
        <v>63462</v>
      </c>
      <c r="G2133" s="656" t="s">
        <v>57</v>
      </c>
      <c r="H2133" s="656" t="s">
        <v>1182</v>
      </c>
      <c r="I2133" s="656" t="s">
        <v>58</v>
      </c>
      <c r="J2133" s="655">
        <v>22</v>
      </c>
      <c r="K2133" s="655">
        <v>2</v>
      </c>
      <c r="L2133" s="656" t="s">
        <v>52</v>
      </c>
      <c r="M2133" s="656" t="s">
        <v>448</v>
      </c>
      <c r="N2133" s="656" t="s">
        <v>449</v>
      </c>
      <c r="O2133" s="656" t="s">
        <v>449</v>
      </c>
      <c r="P2133" s="656" t="s">
        <v>1176</v>
      </c>
      <c r="Q2133" s="657">
        <v>0</v>
      </c>
      <c r="R2133" s="657">
        <v>0</v>
      </c>
      <c r="S2133" s="657">
        <v>21541</v>
      </c>
      <c r="T2133" s="657">
        <v>21541</v>
      </c>
      <c r="U2133" s="657">
        <v>2436</v>
      </c>
      <c r="V2133" s="655">
        <v>2021</v>
      </c>
      <c r="W2133" s="659"/>
      <c r="X2133" s="660">
        <f t="shared" si="101"/>
        <v>8.8427750410509027</v>
      </c>
      <c r="Y2133" s="661" t="str">
        <f t="shared" si="99"/>
        <v/>
      </c>
      <c r="Z2133" s="661" t="str">
        <f t="shared" si="100"/>
        <v/>
      </c>
    </row>
    <row r="2134" spans="1:26" s="128" customFormat="1" hidden="1">
      <c r="A2134" s="655">
        <v>63800</v>
      </c>
      <c r="B2134" s="656" t="s">
        <v>33</v>
      </c>
      <c r="C2134" s="655" t="s">
        <v>2793</v>
      </c>
      <c r="D2134" s="656" t="s">
        <v>3064</v>
      </c>
      <c r="E2134" s="656" t="s">
        <v>2247</v>
      </c>
      <c r="F2134" s="655">
        <v>61227</v>
      </c>
      <c r="G2134" s="656" t="s">
        <v>57</v>
      </c>
      <c r="H2134" s="656" t="s">
        <v>1182</v>
      </c>
      <c r="I2134" s="656" t="s">
        <v>58</v>
      </c>
      <c r="J2134" s="655">
        <v>22</v>
      </c>
      <c r="K2134" s="655">
        <v>2</v>
      </c>
      <c r="L2134" s="656" t="s">
        <v>52</v>
      </c>
      <c r="M2134" s="656" t="s">
        <v>448</v>
      </c>
      <c r="N2134" s="656" t="s">
        <v>449</v>
      </c>
      <c r="O2134" s="656" t="s">
        <v>449</v>
      </c>
      <c r="P2134" s="656" t="s">
        <v>1176</v>
      </c>
      <c r="Q2134" s="657">
        <v>0</v>
      </c>
      <c r="R2134" s="657">
        <v>0</v>
      </c>
      <c r="S2134" s="657">
        <v>30606</v>
      </c>
      <c r="T2134" s="657">
        <v>30606</v>
      </c>
      <c r="U2134" s="657">
        <v>3461</v>
      </c>
      <c r="V2134" s="655">
        <v>2021</v>
      </c>
      <c r="W2134" s="659"/>
      <c r="X2134" s="660">
        <f t="shared" si="101"/>
        <v>8.8431089280554751</v>
      </c>
      <c r="Y2134" s="661" t="str">
        <f t="shared" si="99"/>
        <v/>
      </c>
      <c r="Z2134" s="661" t="str">
        <f t="shared" si="100"/>
        <v/>
      </c>
    </row>
    <row r="2135" spans="1:26" s="128" customFormat="1" ht="25">
      <c r="A2135" s="655">
        <v>63804</v>
      </c>
      <c r="B2135" s="656" t="s">
        <v>33</v>
      </c>
      <c r="C2135" s="655" t="s">
        <v>2793</v>
      </c>
      <c r="D2135" s="656" t="s">
        <v>3216</v>
      </c>
      <c r="E2135" s="656" t="s">
        <v>3217</v>
      </c>
      <c r="F2135" s="655">
        <v>63491</v>
      </c>
      <c r="G2135" s="656" t="s">
        <v>81</v>
      </c>
      <c r="H2135" s="656" t="s">
        <v>1183</v>
      </c>
      <c r="I2135" s="656" t="s">
        <v>58</v>
      </c>
      <c r="J2135" s="655">
        <v>22</v>
      </c>
      <c r="K2135" s="655">
        <v>2</v>
      </c>
      <c r="L2135" s="656" t="s">
        <v>52</v>
      </c>
      <c r="M2135" s="656" t="s">
        <v>1890</v>
      </c>
      <c r="N2135" s="656" t="s">
        <v>1052</v>
      </c>
      <c r="O2135" s="656" t="s">
        <v>82</v>
      </c>
      <c r="P2135" s="656" t="s">
        <v>2794</v>
      </c>
      <c r="Q2135" s="657">
        <v>0</v>
      </c>
      <c r="R2135" s="657">
        <v>0</v>
      </c>
      <c r="S2135" s="657">
        <v>0</v>
      </c>
      <c r="T2135" s="657">
        <v>0</v>
      </c>
      <c r="U2135" s="657">
        <v>0</v>
      </c>
      <c r="V2135" s="655">
        <v>2021</v>
      </c>
      <c r="W2135" s="659"/>
      <c r="X2135" s="660" t="str">
        <f t="shared" si="101"/>
        <v/>
      </c>
      <c r="Y2135" s="661" t="str">
        <f t="shared" si="99"/>
        <v/>
      </c>
      <c r="Z2135" s="661" t="str">
        <f t="shared" si="100"/>
        <v/>
      </c>
    </row>
    <row r="2136" spans="1:26" s="128" customFormat="1" ht="25">
      <c r="A2136" s="655">
        <v>63804</v>
      </c>
      <c r="B2136" s="656" t="s">
        <v>33</v>
      </c>
      <c r="C2136" s="655" t="s">
        <v>2793</v>
      </c>
      <c r="D2136" s="656" t="s">
        <v>3216</v>
      </c>
      <c r="E2136" s="656" t="s">
        <v>3217</v>
      </c>
      <c r="F2136" s="655">
        <v>63491</v>
      </c>
      <c r="G2136" s="656" t="s">
        <v>81</v>
      </c>
      <c r="H2136" s="656" t="s">
        <v>1183</v>
      </c>
      <c r="I2136" s="656" t="s">
        <v>58</v>
      </c>
      <c r="J2136" s="655">
        <v>22</v>
      </c>
      <c r="K2136" s="655">
        <v>2</v>
      </c>
      <c r="L2136" s="656" t="s">
        <v>52</v>
      </c>
      <c r="M2136" s="656" t="s">
        <v>448</v>
      </c>
      <c r="N2136" s="656" t="s">
        <v>449</v>
      </c>
      <c r="O2136" s="656" t="s">
        <v>449</v>
      </c>
      <c r="P2136" s="656" t="s">
        <v>1176</v>
      </c>
      <c r="Q2136" s="657">
        <v>0</v>
      </c>
      <c r="R2136" s="657">
        <v>0</v>
      </c>
      <c r="S2136" s="657">
        <v>46558</v>
      </c>
      <c r="T2136" s="657">
        <v>46558</v>
      </c>
      <c r="U2136" s="657">
        <v>5265</v>
      </c>
      <c r="V2136" s="655">
        <v>2021</v>
      </c>
      <c r="W2136" s="659"/>
      <c r="X2136" s="660">
        <f t="shared" si="101"/>
        <v>8.8429249762583098</v>
      </c>
      <c r="Y2136" s="661" t="str">
        <f t="shared" si="99"/>
        <v/>
      </c>
      <c r="Z2136" s="661" t="str">
        <f t="shared" si="100"/>
        <v/>
      </c>
    </row>
    <row r="2137" spans="1:26" s="128" customFormat="1" ht="25">
      <c r="A2137" s="655">
        <v>63805</v>
      </c>
      <c r="B2137" s="656" t="s">
        <v>33</v>
      </c>
      <c r="C2137" s="655" t="s">
        <v>2793</v>
      </c>
      <c r="D2137" s="656" t="s">
        <v>3425</v>
      </c>
      <c r="E2137" s="656" t="s">
        <v>3426</v>
      </c>
      <c r="F2137" s="655">
        <v>63490</v>
      </c>
      <c r="G2137" s="656" t="s">
        <v>81</v>
      </c>
      <c r="H2137" s="656" t="s">
        <v>1183</v>
      </c>
      <c r="I2137" s="656" t="s">
        <v>58</v>
      </c>
      <c r="J2137" s="655">
        <v>22</v>
      </c>
      <c r="K2137" s="655">
        <v>2</v>
      </c>
      <c r="L2137" s="656" t="s">
        <v>52</v>
      </c>
      <c r="M2137" s="656" t="s">
        <v>1890</v>
      </c>
      <c r="N2137" s="656" t="s">
        <v>1052</v>
      </c>
      <c r="O2137" s="656" t="s">
        <v>82</v>
      </c>
      <c r="P2137" s="656" t="s">
        <v>2794</v>
      </c>
      <c r="Q2137" s="657">
        <v>0</v>
      </c>
      <c r="R2137" s="657">
        <v>0</v>
      </c>
      <c r="S2137" s="657">
        <v>0</v>
      </c>
      <c r="T2137" s="657">
        <v>0</v>
      </c>
      <c r="U2137" s="657">
        <v>0</v>
      </c>
      <c r="V2137" s="655">
        <v>2021</v>
      </c>
      <c r="W2137" s="659"/>
      <c r="X2137" s="660" t="str">
        <f t="shared" si="101"/>
        <v/>
      </c>
      <c r="Y2137" s="661" t="str">
        <f t="shared" si="99"/>
        <v/>
      </c>
      <c r="Z2137" s="661" t="str">
        <f t="shared" si="100"/>
        <v/>
      </c>
    </row>
    <row r="2138" spans="1:26" s="128" customFormat="1">
      <c r="A2138" s="655">
        <v>63805</v>
      </c>
      <c r="B2138" s="656" t="s">
        <v>33</v>
      </c>
      <c r="C2138" s="655" t="s">
        <v>2793</v>
      </c>
      <c r="D2138" s="656" t="s">
        <v>3425</v>
      </c>
      <c r="E2138" s="656" t="s">
        <v>3426</v>
      </c>
      <c r="F2138" s="655">
        <v>63490</v>
      </c>
      <c r="G2138" s="656" t="s">
        <v>81</v>
      </c>
      <c r="H2138" s="656" t="s">
        <v>1183</v>
      </c>
      <c r="I2138" s="656" t="s">
        <v>58</v>
      </c>
      <c r="J2138" s="655">
        <v>22</v>
      </c>
      <c r="K2138" s="655">
        <v>2</v>
      </c>
      <c r="L2138" s="656" t="s">
        <v>52</v>
      </c>
      <c r="M2138" s="656" t="s">
        <v>448</v>
      </c>
      <c r="N2138" s="656" t="s">
        <v>449</v>
      </c>
      <c r="O2138" s="656" t="s">
        <v>449</v>
      </c>
      <c r="P2138" s="656" t="s">
        <v>1176</v>
      </c>
      <c r="Q2138" s="657">
        <v>0</v>
      </c>
      <c r="R2138" s="657">
        <v>0</v>
      </c>
      <c r="S2138" s="657">
        <v>11443</v>
      </c>
      <c r="T2138" s="657">
        <v>11443</v>
      </c>
      <c r="U2138" s="657">
        <v>1294</v>
      </c>
      <c r="V2138" s="655">
        <v>2021</v>
      </c>
      <c r="W2138" s="659"/>
      <c r="X2138" s="660">
        <f t="shared" si="101"/>
        <v>8.8431221020092732</v>
      </c>
      <c r="Y2138" s="661" t="str">
        <f t="shared" si="99"/>
        <v/>
      </c>
      <c r="Z2138" s="661" t="str">
        <f t="shared" si="100"/>
        <v/>
      </c>
    </row>
    <row r="2139" spans="1:26" s="128" customFormat="1" hidden="1">
      <c r="A2139" s="655">
        <v>63854</v>
      </c>
      <c r="B2139" s="656" t="s">
        <v>33</v>
      </c>
      <c r="C2139" s="655" t="s">
        <v>2793</v>
      </c>
      <c r="D2139" s="656" t="s">
        <v>3218</v>
      </c>
      <c r="E2139" s="656" t="s">
        <v>3219</v>
      </c>
      <c r="F2139" s="655">
        <v>63529</v>
      </c>
      <c r="G2139" s="656" t="s">
        <v>57</v>
      </c>
      <c r="H2139" s="656" t="s">
        <v>1182</v>
      </c>
      <c r="I2139" s="656" t="s">
        <v>58</v>
      </c>
      <c r="J2139" s="655">
        <v>22</v>
      </c>
      <c r="K2139" s="655">
        <v>2</v>
      </c>
      <c r="L2139" s="656" t="s">
        <v>52</v>
      </c>
      <c r="M2139" s="656" t="s">
        <v>448</v>
      </c>
      <c r="N2139" s="656" t="s">
        <v>449</v>
      </c>
      <c r="O2139" s="656" t="s">
        <v>449</v>
      </c>
      <c r="P2139" s="656" t="s">
        <v>1176</v>
      </c>
      <c r="Q2139" s="657">
        <v>0</v>
      </c>
      <c r="R2139" s="657">
        <v>0</v>
      </c>
      <c r="S2139" s="657">
        <v>25945</v>
      </c>
      <c r="T2139" s="657">
        <v>25945</v>
      </c>
      <c r="U2139" s="657">
        <v>2934</v>
      </c>
      <c r="V2139" s="655">
        <v>2021</v>
      </c>
      <c r="W2139" s="659"/>
      <c r="X2139" s="660">
        <f t="shared" si="101"/>
        <v>8.842876618950239</v>
      </c>
      <c r="Y2139" s="661" t="str">
        <f t="shared" si="99"/>
        <v/>
      </c>
      <c r="Z2139" s="661" t="str">
        <f t="shared" si="100"/>
        <v/>
      </c>
    </row>
    <row r="2140" spans="1:26" s="128" customFormat="1" hidden="1">
      <c r="A2140" s="655">
        <v>63855</v>
      </c>
      <c r="B2140" s="656" t="s">
        <v>33</v>
      </c>
      <c r="C2140" s="655" t="s">
        <v>2793</v>
      </c>
      <c r="D2140" s="656" t="s">
        <v>3220</v>
      </c>
      <c r="E2140" s="656" t="s">
        <v>3221</v>
      </c>
      <c r="F2140" s="655">
        <v>63532</v>
      </c>
      <c r="G2140" s="656" t="s">
        <v>57</v>
      </c>
      <c r="H2140" s="656" t="s">
        <v>1182</v>
      </c>
      <c r="I2140" s="656" t="s">
        <v>58</v>
      </c>
      <c r="J2140" s="655">
        <v>22</v>
      </c>
      <c r="K2140" s="655">
        <v>2</v>
      </c>
      <c r="L2140" s="656" t="s">
        <v>52</v>
      </c>
      <c r="M2140" s="656" t="s">
        <v>448</v>
      </c>
      <c r="N2140" s="656" t="s">
        <v>449</v>
      </c>
      <c r="O2140" s="656" t="s">
        <v>449</v>
      </c>
      <c r="P2140" s="656" t="s">
        <v>1176</v>
      </c>
      <c r="Q2140" s="657">
        <v>0</v>
      </c>
      <c r="R2140" s="657">
        <v>0</v>
      </c>
      <c r="S2140" s="657">
        <v>25009</v>
      </c>
      <c r="T2140" s="657">
        <v>25009</v>
      </c>
      <c r="U2140" s="657">
        <v>2828</v>
      </c>
      <c r="V2140" s="655">
        <v>2021</v>
      </c>
      <c r="W2140" s="659"/>
      <c r="X2140" s="660">
        <f t="shared" si="101"/>
        <v>8.8433521923620937</v>
      </c>
      <c r="Y2140" s="661" t="str">
        <f t="shared" si="99"/>
        <v/>
      </c>
      <c r="Z2140" s="661" t="str">
        <f t="shared" si="100"/>
        <v/>
      </c>
    </row>
    <row r="2141" spans="1:26" s="128" customFormat="1" hidden="1">
      <c r="A2141" s="655">
        <v>63856</v>
      </c>
      <c r="B2141" s="656" t="s">
        <v>33</v>
      </c>
      <c r="C2141" s="655" t="s">
        <v>2793</v>
      </c>
      <c r="D2141" s="656" t="s">
        <v>3222</v>
      </c>
      <c r="E2141" s="656" t="s">
        <v>3223</v>
      </c>
      <c r="F2141" s="655">
        <v>63533</v>
      </c>
      <c r="G2141" s="656" t="s">
        <v>57</v>
      </c>
      <c r="H2141" s="656" t="s">
        <v>1182</v>
      </c>
      <c r="I2141" s="656" t="s">
        <v>58</v>
      </c>
      <c r="J2141" s="655">
        <v>22</v>
      </c>
      <c r="K2141" s="655">
        <v>2</v>
      </c>
      <c r="L2141" s="656" t="s">
        <v>52</v>
      </c>
      <c r="M2141" s="656" t="s">
        <v>448</v>
      </c>
      <c r="N2141" s="656" t="s">
        <v>449</v>
      </c>
      <c r="O2141" s="656" t="s">
        <v>449</v>
      </c>
      <c r="P2141" s="656" t="s">
        <v>1176</v>
      </c>
      <c r="Q2141" s="657">
        <v>0</v>
      </c>
      <c r="R2141" s="657">
        <v>0</v>
      </c>
      <c r="S2141" s="657">
        <v>28006</v>
      </c>
      <c r="T2141" s="657">
        <v>28006</v>
      </c>
      <c r="U2141" s="657">
        <v>3167</v>
      </c>
      <c r="V2141" s="655">
        <v>2021</v>
      </c>
      <c r="W2141" s="659"/>
      <c r="X2141" s="660">
        <f t="shared" si="101"/>
        <v>8.8430691506157242</v>
      </c>
      <c r="Y2141" s="661" t="str">
        <f t="shared" si="99"/>
        <v/>
      </c>
      <c r="Z2141" s="661" t="str">
        <f t="shared" si="100"/>
        <v/>
      </c>
    </row>
    <row r="2142" spans="1:26" s="128" customFormat="1" hidden="1">
      <c r="A2142" s="655">
        <v>63857</v>
      </c>
      <c r="B2142" s="656" t="s">
        <v>33</v>
      </c>
      <c r="C2142" s="655" t="s">
        <v>2793</v>
      </c>
      <c r="D2142" s="656" t="s">
        <v>3224</v>
      </c>
      <c r="E2142" s="656" t="s">
        <v>3225</v>
      </c>
      <c r="F2142" s="655">
        <v>63534</v>
      </c>
      <c r="G2142" s="656" t="s">
        <v>57</v>
      </c>
      <c r="H2142" s="656" t="s">
        <v>1182</v>
      </c>
      <c r="I2142" s="656" t="s">
        <v>58</v>
      </c>
      <c r="J2142" s="655">
        <v>22</v>
      </c>
      <c r="K2142" s="655">
        <v>2</v>
      </c>
      <c r="L2142" s="656" t="s">
        <v>52</v>
      </c>
      <c r="M2142" s="656" t="s">
        <v>448</v>
      </c>
      <c r="N2142" s="656" t="s">
        <v>449</v>
      </c>
      <c r="O2142" s="656" t="s">
        <v>449</v>
      </c>
      <c r="P2142" s="656" t="s">
        <v>1176</v>
      </c>
      <c r="Q2142" s="657">
        <v>0</v>
      </c>
      <c r="R2142" s="657">
        <v>0</v>
      </c>
      <c r="S2142" s="657">
        <v>40588</v>
      </c>
      <c r="T2142" s="657">
        <v>40588</v>
      </c>
      <c r="U2142" s="657">
        <v>4590</v>
      </c>
      <c r="V2142" s="655">
        <v>2021</v>
      </c>
      <c r="W2142" s="659"/>
      <c r="X2142" s="660">
        <f t="shared" si="101"/>
        <v>8.8427015250544656</v>
      </c>
      <c r="Y2142" s="661" t="str">
        <f t="shared" si="99"/>
        <v/>
      </c>
      <c r="Z2142" s="661" t="str">
        <f t="shared" si="100"/>
        <v/>
      </c>
    </row>
    <row r="2143" spans="1:26" s="128" customFormat="1" hidden="1">
      <c r="A2143" s="655">
        <v>63858</v>
      </c>
      <c r="B2143" s="656" t="s">
        <v>33</v>
      </c>
      <c r="C2143" s="655" t="s">
        <v>2793</v>
      </c>
      <c r="D2143" s="656" t="s">
        <v>3226</v>
      </c>
      <c r="E2143" s="656" t="s">
        <v>3227</v>
      </c>
      <c r="F2143" s="655">
        <v>63535</v>
      </c>
      <c r="G2143" s="656" t="s">
        <v>57</v>
      </c>
      <c r="H2143" s="656" t="s">
        <v>1182</v>
      </c>
      <c r="I2143" s="656" t="s">
        <v>58</v>
      </c>
      <c r="J2143" s="655">
        <v>22</v>
      </c>
      <c r="K2143" s="655">
        <v>2</v>
      </c>
      <c r="L2143" s="656" t="s">
        <v>52</v>
      </c>
      <c r="M2143" s="656" t="s">
        <v>448</v>
      </c>
      <c r="N2143" s="656" t="s">
        <v>449</v>
      </c>
      <c r="O2143" s="656" t="s">
        <v>449</v>
      </c>
      <c r="P2143" s="656" t="s">
        <v>1176</v>
      </c>
      <c r="Q2143" s="657">
        <v>0</v>
      </c>
      <c r="R2143" s="657">
        <v>0</v>
      </c>
      <c r="S2143" s="657">
        <v>27529</v>
      </c>
      <c r="T2143" s="657">
        <v>27529</v>
      </c>
      <c r="U2143" s="657">
        <v>3113</v>
      </c>
      <c r="V2143" s="655">
        <v>2021</v>
      </c>
      <c r="W2143" s="659"/>
      <c r="X2143" s="660">
        <f t="shared" si="101"/>
        <v>8.8432380340507546</v>
      </c>
      <c r="Y2143" s="661" t="str">
        <f t="shared" si="99"/>
        <v/>
      </c>
      <c r="Z2143" s="661" t="str">
        <f t="shared" si="100"/>
        <v/>
      </c>
    </row>
    <row r="2144" spans="1:26" s="128" customFormat="1" ht="25">
      <c r="A2144" s="655">
        <v>63887</v>
      </c>
      <c r="B2144" s="656" t="s">
        <v>33</v>
      </c>
      <c r="C2144" s="655" t="s">
        <v>2793</v>
      </c>
      <c r="D2144" s="656" t="s">
        <v>3228</v>
      </c>
      <c r="E2144" s="656" t="s">
        <v>2210</v>
      </c>
      <c r="F2144" s="655">
        <v>61012</v>
      </c>
      <c r="G2144" s="656" t="s">
        <v>81</v>
      </c>
      <c r="H2144" s="656" t="s">
        <v>1183</v>
      </c>
      <c r="I2144" s="656" t="s">
        <v>58</v>
      </c>
      <c r="J2144" s="655">
        <v>22</v>
      </c>
      <c r="K2144" s="655">
        <v>2</v>
      </c>
      <c r="L2144" s="656" t="s">
        <v>52</v>
      </c>
      <c r="M2144" s="656" t="s">
        <v>448</v>
      </c>
      <c r="N2144" s="656" t="s">
        <v>449</v>
      </c>
      <c r="O2144" s="656" t="s">
        <v>449</v>
      </c>
      <c r="P2144" s="656" t="s">
        <v>1176</v>
      </c>
      <c r="Q2144" s="657">
        <v>0</v>
      </c>
      <c r="R2144" s="657">
        <v>0</v>
      </c>
      <c r="S2144" s="657">
        <v>14112</v>
      </c>
      <c r="T2144" s="657">
        <v>14112</v>
      </c>
      <c r="U2144" s="657">
        <v>1596</v>
      </c>
      <c r="V2144" s="655">
        <v>2021</v>
      </c>
      <c r="W2144" s="659"/>
      <c r="X2144" s="660">
        <f t="shared" si="101"/>
        <v>8.8421052631578956</v>
      </c>
      <c r="Y2144" s="661" t="str">
        <f t="shared" si="99"/>
        <v/>
      </c>
      <c r="Z2144" s="661" t="str">
        <f t="shared" si="100"/>
        <v/>
      </c>
    </row>
    <row r="2145" spans="1:26" s="128" customFormat="1" hidden="1">
      <c r="A2145" s="655">
        <v>63893</v>
      </c>
      <c r="B2145" s="656" t="s">
        <v>33</v>
      </c>
      <c r="C2145" s="655" t="s">
        <v>2793</v>
      </c>
      <c r="D2145" s="656" t="s">
        <v>3229</v>
      </c>
      <c r="E2145" s="656" t="s">
        <v>3229</v>
      </c>
      <c r="F2145" s="655">
        <v>63548</v>
      </c>
      <c r="G2145" s="656" t="s">
        <v>131</v>
      </c>
      <c r="H2145" s="656" t="s">
        <v>1183</v>
      </c>
      <c r="I2145" s="656" t="s">
        <v>58</v>
      </c>
      <c r="J2145" s="655">
        <v>22</v>
      </c>
      <c r="K2145" s="655">
        <v>2</v>
      </c>
      <c r="L2145" s="656" t="s">
        <v>52</v>
      </c>
      <c r="M2145" s="656" t="s">
        <v>448</v>
      </c>
      <c r="N2145" s="656" t="s">
        <v>449</v>
      </c>
      <c r="O2145" s="656" t="s">
        <v>449</v>
      </c>
      <c r="P2145" s="656" t="s">
        <v>1176</v>
      </c>
      <c r="Q2145" s="657">
        <v>0</v>
      </c>
      <c r="R2145" s="657">
        <v>0</v>
      </c>
      <c r="S2145" s="657">
        <v>137693</v>
      </c>
      <c r="T2145" s="657">
        <v>137693</v>
      </c>
      <c r="U2145" s="657">
        <v>15571</v>
      </c>
      <c r="V2145" s="655">
        <v>2021</v>
      </c>
      <c r="W2145" s="659"/>
      <c r="X2145" s="660">
        <f t="shared" si="101"/>
        <v>8.8429131077002125</v>
      </c>
      <c r="Y2145" s="661" t="str">
        <f t="shared" si="99"/>
        <v/>
      </c>
      <c r="Z2145" s="661" t="str">
        <f t="shared" si="100"/>
        <v/>
      </c>
    </row>
    <row r="2146" spans="1:26" s="128" customFormat="1" hidden="1">
      <c r="A2146" s="655">
        <v>63894</v>
      </c>
      <c r="B2146" s="656" t="s">
        <v>33</v>
      </c>
      <c r="C2146" s="655" t="s">
        <v>2793</v>
      </c>
      <c r="D2146" s="656" t="s">
        <v>3427</v>
      </c>
      <c r="E2146" s="656" t="s">
        <v>3428</v>
      </c>
      <c r="F2146" s="655">
        <v>63568</v>
      </c>
      <c r="G2146" s="656" t="s">
        <v>90</v>
      </c>
      <c r="H2146" s="656" t="s">
        <v>1183</v>
      </c>
      <c r="I2146" s="656" t="s">
        <v>58</v>
      </c>
      <c r="J2146" s="655">
        <v>22</v>
      </c>
      <c r="K2146" s="655">
        <v>2</v>
      </c>
      <c r="L2146" s="656" t="s">
        <v>52</v>
      </c>
      <c r="M2146" s="656" t="s">
        <v>448</v>
      </c>
      <c r="N2146" s="656" t="s">
        <v>449</v>
      </c>
      <c r="O2146" s="656" t="s">
        <v>449</v>
      </c>
      <c r="P2146" s="656" t="s">
        <v>1176</v>
      </c>
      <c r="Q2146" s="657">
        <v>0</v>
      </c>
      <c r="R2146" s="657">
        <v>0</v>
      </c>
      <c r="S2146" s="657">
        <v>124607</v>
      </c>
      <c r="T2146" s="657">
        <v>124607</v>
      </c>
      <c r="U2146" s="657">
        <v>14091</v>
      </c>
      <c r="V2146" s="655">
        <v>2021</v>
      </c>
      <c r="W2146" s="659"/>
      <c r="X2146" s="660">
        <f t="shared" si="101"/>
        <v>8.8430203676105315</v>
      </c>
      <c r="Y2146" s="661" t="str">
        <f t="shared" si="99"/>
        <v/>
      </c>
      <c r="Z2146" s="661" t="str">
        <f t="shared" si="100"/>
        <v/>
      </c>
    </row>
    <row r="2147" spans="1:26" s="128" customFormat="1" ht="25" hidden="1">
      <c r="A2147" s="655">
        <v>63895</v>
      </c>
      <c r="B2147" s="656" t="s">
        <v>33</v>
      </c>
      <c r="C2147" s="655" t="s">
        <v>2793</v>
      </c>
      <c r="D2147" s="656" t="s">
        <v>3429</v>
      </c>
      <c r="E2147" s="656" t="s">
        <v>3430</v>
      </c>
      <c r="F2147" s="655">
        <v>63567</v>
      </c>
      <c r="G2147" s="656" t="s">
        <v>90</v>
      </c>
      <c r="H2147" s="656" t="s">
        <v>1183</v>
      </c>
      <c r="I2147" s="656" t="s">
        <v>58</v>
      </c>
      <c r="J2147" s="655">
        <v>22</v>
      </c>
      <c r="K2147" s="655">
        <v>2</v>
      </c>
      <c r="L2147" s="656" t="s">
        <v>52</v>
      </c>
      <c r="M2147" s="656" t="s">
        <v>448</v>
      </c>
      <c r="N2147" s="656" t="s">
        <v>449</v>
      </c>
      <c r="O2147" s="656" t="s">
        <v>449</v>
      </c>
      <c r="P2147" s="656" t="s">
        <v>1176</v>
      </c>
      <c r="Q2147" s="657">
        <v>0</v>
      </c>
      <c r="R2147" s="657">
        <v>0</v>
      </c>
      <c r="S2147" s="657">
        <v>35594</v>
      </c>
      <c r="T2147" s="657">
        <v>35594</v>
      </c>
      <c r="U2147" s="657">
        <v>4025</v>
      </c>
      <c r="V2147" s="655">
        <v>2021</v>
      </c>
      <c r="W2147" s="659"/>
      <c r="X2147" s="660">
        <f t="shared" si="101"/>
        <v>8.8432298136645962</v>
      </c>
      <c r="Y2147" s="661" t="str">
        <f t="shared" si="99"/>
        <v/>
      </c>
      <c r="Z2147" s="661" t="str">
        <f t="shared" si="100"/>
        <v/>
      </c>
    </row>
    <row r="2148" spans="1:26" s="128" customFormat="1" ht="25" hidden="1">
      <c r="A2148" s="655">
        <v>63896</v>
      </c>
      <c r="B2148" s="656" t="s">
        <v>33</v>
      </c>
      <c r="C2148" s="655" t="s">
        <v>2793</v>
      </c>
      <c r="D2148" s="656" t="s">
        <v>3431</v>
      </c>
      <c r="E2148" s="656" t="s">
        <v>3432</v>
      </c>
      <c r="F2148" s="655">
        <v>63566</v>
      </c>
      <c r="G2148" s="656" t="s">
        <v>90</v>
      </c>
      <c r="H2148" s="656" t="s">
        <v>1183</v>
      </c>
      <c r="I2148" s="656" t="s">
        <v>58</v>
      </c>
      <c r="J2148" s="655">
        <v>22</v>
      </c>
      <c r="K2148" s="655">
        <v>2</v>
      </c>
      <c r="L2148" s="656" t="s">
        <v>52</v>
      </c>
      <c r="M2148" s="656" t="s">
        <v>448</v>
      </c>
      <c r="N2148" s="656" t="s">
        <v>449</v>
      </c>
      <c r="O2148" s="656" t="s">
        <v>449</v>
      </c>
      <c r="P2148" s="656" t="s">
        <v>1176</v>
      </c>
      <c r="Q2148" s="657">
        <v>0</v>
      </c>
      <c r="R2148" s="657">
        <v>0</v>
      </c>
      <c r="S2148" s="657">
        <v>34134</v>
      </c>
      <c r="T2148" s="657">
        <v>34134</v>
      </c>
      <c r="U2148" s="657">
        <v>3860</v>
      </c>
      <c r="V2148" s="655">
        <v>2021</v>
      </c>
      <c r="W2148" s="659"/>
      <c r="X2148" s="660">
        <f t="shared" si="101"/>
        <v>8.8430051813471504</v>
      </c>
      <c r="Y2148" s="661" t="str">
        <f t="shared" si="99"/>
        <v/>
      </c>
      <c r="Z2148" s="661" t="str">
        <f t="shared" si="100"/>
        <v/>
      </c>
    </row>
    <row r="2149" spans="1:26" s="128" customFormat="1" ht="25" hidden="1">
      <c r="A2149" s="655">
        <v>63897</v>
      </c>
      <c r="B2149" s="656" t="s">
        <v>33</v>
      </c>
      <c r="C2149" s="655" t="s">
        <v>2793</v>
      </c>
      <c r="D2149" s="656" t="s">
        <v>3433</v>
      </c>
      <c r="E2149" s="656" t="s">
        <v>3434</v>
      </c>
      <c r="F2149" s="655">
        <v>63565</v>
      </c>
      <c r="G2149" s="656" t="s">
        <v>90</v>
      </c>
      <c r="H2149" s="656" t="s">
        <v>1183</v>
      </c>
      <c r="I2149" s="656" t="s">
        <v>58</v>
      </c>
      <c r="J2149" s="655">
        <v>22</v>
      </c>
      <c r="K2149" s="655">
        <v>2</v>
      </c>
      <c r="L2149" s="656" t="s">
        <v>52</v>
      </c>
      <c r="M2149" s="656" t="s">
        <v>448</v>
      </c>
      <c r="N2149" s="656" t="s">
        <v>449</v>
      </c>
      <c r="O2149" s="656" t="s">
        <v>449</v>
      </c>
      <c r="P2149" s="656" t="s">
        <v>1176</v>
      </c>
      <c r="Q2149" s="657">
        <v>0</v>
      </c>
      <c r="R2149" s="657">
        <v>0</v>
      </c>
      <c r="S2149" s="657">
        <v>59407</v>
      </c>
      <c r="T2149" s="657">
        <v>59407</v>
      </c>
      <c r="U2149" s="657">
        <v>6718</v>
      </c>
      <c r="V2149" s="655">
        <v>2021</v>
      </c>
      <c r="W2149" s="659"/>
      <c r="X2149" s="660">
        <f t="shared" si="101"/>
        <v>8.8429592140518007</v>
      </c>
      <c r="Y2149" s="661" t="str">
        <f t="shared" si="99"/>
        <v/>
      </c>
      <c r="Z2149" s="661" t="str">
        <f t="shared" si="100"/>
        <v/>
      </c>
    </row>
    <row r="2150" spans="1:26" s="128" customFormat="1">
      <c r="A2150" s="655">
        <v>63942</v>
      </c>
      <c r="B2150" s="656" t="s">
        <v>33</v>
      </c>
      <c r="C2150" s="655" t="s">
        <v>2793</v>
      </c>
      <c r="D2150" s="656" t="s">
        <v>3230</v>
      </c>
      <c r="E2150" s="656" t="s">
        <v>3231</v>
      </c>
      <c r="F2150" s="655">
        <v>63595</v>
      </c>
      <c r="G2150" s="656" t="s">
        <v>81</v>
      </c>
      <c r="H2150" s="656" t="s">
        <v>1183</v>
      </c>
      <c r="I2150" s="656" t="s">
        <v>58</v>
      </c>
      <c r="J2150" s="655">
        <v>22</v>
      </c>
      <c r="K2150" s="655">
        <v>2</v>
      </c>
      <c r="L2150" s="656" t="s">
        <v>52</v>
      </c>
      <c r="M2150" s="656" t="s">
        <v>448</v>
      </c>
      <c r="N2150" s="656" t="s">
        <v>449</v>
      </c>
      <c r="O2150" s="656" t="s">
        <v>449</v>
      </c>
      <c r="P2150" s="656" t="s">
        <v>1176</v>
      </c>
      <c r="Q2150" s="657">
        <v>0</v>
      </c>
      <c r="R2150" s="657">
        <v>0</v>
      </c>
      <c r="S2150" s="657">
        <v>40226</v>
      </c>
      <c r="T2150" s="657">
        <v>40226</v>
      </c>
      <c r="U2150" s="657">
        <v>4549</v>
      </c>
      <c r="V2150" s="655">
        <v>2021</v>
      </c>
      <c r="W2150" s="659"/>
      <c r="X2150" s="660">
        <f t="shared" si="101"/>
        <v>8.8428225983732691</v>
      </c>
      <c r="Y2150" s="661" t="str">
        <f t="shared" si="99"/>
        <v/>
      </c>
      <c r="Z2150" s="661" t="str">
        <f t="shared" si="100"/>
        <v/>
      </c>
    </row>
    <row r="2151" spans="1:26" s="128" customFormat="1" ht="25" hidden="1">
      <c r="A2151" s="655">
        <v>63944</v>
      </c>
      <c r="B2151" s="656" t="s">
        <v>33</v>
      </c>
      <c r="C2151" s="655" t="s">
        <v>2793</v>
      </c>
      <c r="D2151" s="656" t="s">
        <v>3232</v>
      </c>
      <c r="E2151" s="656" t="s">
        <v>2210</v>
      </c>
      <c r="F2151" s="655">
        <v>61012</v>
      </c>
      <c r="G2151" s="656" t="s">
        <v>131</v>
      </c>
      <c r="H2151" s="656" t="s">
        <v>1183</v>
      </c>
      <c r="I2151" s="656" t="s">
        <v>58</v>
      </c>
      <c r="J2151" s="655">
        <v>22</v>
      </c>
      <c r="K2151" s="655">
        <v>2</v>
      </c>
      <c r="L2151" s="656" t="s">
        <v>52</v>
      </c>
      <c r="M2151" s="656" t="s">
        <v>448</v>
      </c>
      <c r="N2151" s="656" t="s">
        <v>449</v>
      </c>
      <c r="O2151" s="656" t="s">
        <v>449</v>
      </c>
      <c r="P2151" s="656" t="s">
        <v>1176</v>
      </c>
      <c r="Q2151" s="657">
        <v>0</v>
      </c>
      <c r="R2151" s="657">
        <v>0</v>
      </c>
      <c r="S2151" s="657">
        <v>50385</v>
      </c>
      <c r="T2151" s="657">
        <v>50385</v>
      </c>
      <c r="U2151" s="657">
        <v>5698</v>
      </c>
      <c r="V2151" s="655">
        <v>2021</v>
      </c>
      <c r="W2151" s="659"/>
      <c r="X2151" s="660">
        <f t="shared" si="101"/>
        <v>8.8425763425763417</v>
      </c>
      <c r="Y2151" s="661" t="str">
        <f t="shared" si="99"/>
        <v/>
      </c>
      <c r="Z2151" s="661" t="str">
        <f t="shared" si="100"/>
        <v/>
      </c>
    </row>
    <row r="2152" spans="1:26" s="128" customFormat="1" ht="25">
      <c r="A2152" s="655">
        <v>63950</v>
      </c>
      <c r="B2152" s="656" t="s">
        <v>33</v>
      </c>
      <c r="C2152" s="655" t="s">
        <v>2793</v>
      </c>
      <c r="D2152" s="656" t="s">
        <v>3233</v>
      </c>
      <c r="E2152" s="656" t="s">
        <v>3234</v>
      </c>
      <c r="F2152" s="655">
        <v>63615</v>
      </c>
      <c r="G2152" s="656" t="s">
        <v>81</v>
      </c>
      <c r="H2152" s="656" t="s">
        <v>1183</v>
      </c>
      <c r="I2152" s="656" t="s">
        <v>58</v>
      </c>
      <c r="J2152" s="655">
        <v>22</v>
      </c>
      <c r="K2152" s="655">
        <v>2</v>
      </c>
      <c r="L2152" s="656" t="s">
        <v>52</v>
      </c>
      <c r="M2152" s="656" t="s">
        <v>448</v>
      </c>
      <c r="N2152" s="656" t="s">
        <v>449</v>
      </c>
      <c r="O2152" s="656" t="s">
        <v>449</v>
      </c>
      <c r="P2152" s="656" t="s">
        <v>1176</v>
      </c>
      <c r="Q2152" s="657">
        <v>0</v>
      </c>
      <c r="R2152" s="657">
        <v>0</v>
      </c>
      <c r="S2152" s="657">
        <v>13282</v>
      </c>
      <c r="T2152" s="657">
        <v>13282</v>
      </c>
      <c r="U2152" s="657">
        <v>1502</v>
      </c>
      <c r="V2152" s="655">
        <v>2021</v>
      </c>
      <c r="W2152" s="659"/>
      <c r="X2152" s="660">
        <f t="shared" si="101"/>
        <v>8.8428761651131822</v>
      </c>
      <c r="Y2152" s="661" t="str">
        <f t="shared" si="99"/>
        <v/>
      </c>
      <c r="Z2152" s="661" t="str">
        <f t="shared" si="100"/>
        <v/>
      </c>
    </row>
    <row r="2153" spans="1:26" s="128" customFormat="1" ht="25">
      <c r="A2153" s="655">
        <v>63953</v>
      </c>
      <c r="B2153" s="656" t="s">
        <v>33</v>
      </c>
      <c r="C2153" s="655" t="s">
        <v>2793</v>
      </c>
      <c r="D2153" s="656" t="s">
        <v>3235</v>
      </c>
      <c r="E2153" s="656" t="s">
        <v>3236</v>
      </c>
      <c r="F2153" s="655">
        <v>63614</v>
      </c>
      <c r="G2153" s="656" t="s">
        <v>81</v>
      </c>
      <c r="H2153" s="656" t="s">
        <v>1183</v>
      </c>
      <c r="I2153" s="656" t="s">
        <v>58</v>
      </c>
      <c r="J2153" s="655">
        <v>22</v>
      </c>
      <c r="K2153" s="655">
        <v>2</v>
      </c>
      <c r="L2153" s="656" t="s">
        <v>52</v>
      </c>
      <c r="M2153" s="656" t="s">
        <v>448</v>
      </c>
      <c r="N2153" s="656" t="s">
        <v>449</v>
      </c>
      <c r="O2153" s="656" t="s">
        <v>449</v>
      </c>
      <c r="P2153" s="656" t="s">
        <v>1176</v>
      </c>
      <c r="Q2153" s="657">
        <v>0</v>
      </c>
      <c r="R2153" s="657">
        <v>0</v>
      </c>
      <c r="S2153" s="657">
        <v>31181</v>
      </c>
      <c r="T2153" s="657">
        <v>31181</v>
      </c>
      <c r="U2153" s="657">
        <v>3526</v>
      </c>
      <c r="V2153" s="655">
        <v>2021</v>
      </c>
      <c r="W2153" s="659"/>
      <c r="X2153" s="660">
        <f t="shared" si="101"/>
        <v>8.8431650595575721</v>
      </c>
      <c r="Y2153" s="661" t="str">
        <f t="shared" si="99"/>
        <v/>
      </c>
      <c r="Z2153" s="661" t="str">
        <f t="shared" si="100"/>
        <v/>
      </c>
    </row>
    <row r="2154" spans="1:26" s="128" customFormat="1" hidden="1">
      <c r="A2154" s="655">
        <v>63997</v>
      </c>
      <c r="B2154" s="656" t="s">
        <v>33</v>
      </c>
      <c r="C2154" s="655" t="s">
        <v>2793</v>
      </c>
      <c r="D2154" s="656" t="s">
        <v>3237</v>
      </c>
      <c r="E2154" s="656" t="s">
        <v>3139</v>
      </c>
      <c r="F2154" s="655">
        <v>60571</v>
      </c>
      <c r="G2154" s="656" t="s">
        <v>131</v>
      </c>
      <c r="H2154" s="656" t="s">
        <v>1183</v>
      </c>
      <c r="I2154" s="656" t="s">
        <v>58</v>
      </c>
      <c r="J2154" s="655">
        <v>22</v>
      </c>
      <c r="K2154" s="655">
        <v>2</v>
      </c>
      <c r="L2154" s="656" t="s">
        <v>52</v>
      </c>
      <c r="M2154" s="656" t="s">
        <v>448</v>
      </c>
      <c r="N2154" s="656" t="s">
        <v>449</v>
      </c>
      <c r="O2154" s="656" t="s">
        <v>449</v>
      </c>
      <c r="P2154" s="656" t="s">
        <v>1176</v>
      </c>
      <c r="Q2154" s="657">
        <v>0</v>
      </c>
      <c r="R2154" s="657">
        <v>0</v>
      </c>
      <c r="S2154" s="657">
        <v>67739</v>
      </c>
      <c r="T2154" s="657">
        <v>67739</v>
      </c>
      <c r="U2154" s="657">
        <v>7660</v>
      </c>
      <c r="V2154" s="655">
        <v>2021</v>
      </c>
      <c r="W2154" s="659"/>
      <c r="X2154" s="660">
        <f t="shared" si="101"/>
        <v>8.8432114882506525</v>
      </c>
      <c r="Y2154" s="661" t="str">
        <f t="shared" si="99"/>
        <v/>
      </c>
      <c r="Z2154" s="661" t="str">
        <f t="shared" si="100"/>
        <v/>
      </c>
    </row>
    <row r="2155" spans="1:26" s="128" customFormat="1" ht="25">
      <c r="A2155" s="655">
        <v>64000</v>
      </c>
      <c r="B2155" s="656" t="s">
        <v>33</v>
      </c>
      <c r="C2155" s="655" t="s">
        <v>2793</v>
      </c>
      <c r="D2155" s="656" t="s">
        <v>3435</v>
      </c>
      <c r="E2155" s="656" t="s">
        <v>2210</v>
      </c>
      <c r="F2155" s="655">
        <v>61012</v>
      </c>
      <c r="G2155" s="656" t="s">
        <v>81</v>
      </c>
      <c r="H2155" s="656" t="s">
        <v>1183</v>
      </c>
      <c r="I2155" s="656" t="s">
        <v>58</v>
      </c>
      <c r="J2155" s="655">
        <v>22</v>
      </c>
      <c r="K2155" s="655">
        <v>2</v>
      </c>
      <c r="L2155" s="656" t="s">
        <v>52</v>
      </c>
      <c r="M2155" s="656" t="s">
        <v>1890</v>
      </c>
      <c r="N2155" s="656" t="s">
        <v>1052</v>
      </c>
      <c r="O2155" s="656" t="s">
        <v>82</v>
      </c>
      <c r="P2155" s="656" t="s">
        <v>2794</v>
      </c>
      <c r="Q2155" s="657">
        <v>0</v>
      </c>
      <c r="R2155" s="657">
        <v>0</v>
      </c>
      <c r="S2155" s="657">
        <v>0</v>
      </c>
      <c r="T2155" s="657">
        <v>0</v>
      </c>
      <c r="U2155" s="657">
        <v>0</v>
      </c>
      <c r="V2155" s="655">
        <v>2021</v>
      </c>
      <c r="W2155" s="659"/>
      <c r="X2155" s="660" t="str">
        <f t="shared" si="101"/>
        <v/>
      </c>
      <c r="Y2155" s="661" t="str">
        <f t="shared" si="99"/>
        <v/>
      </c>
      <c r="Z2155" s="661" t="str">
        <f t="shared" si="100"/>
        <v/>
      </c>
    </row>
    <row r="2156" spans="1:26" s="128" customFormat="1">
      <c r="A2156" s="655">
        <v>64000</v>
      </c>
      <c r="B2156" s="656" t="s">
        <v>33</v>
      </c>
      <c r="C2156" s="655" t="s">
        <v>2793</v>
      </c>
      <c r="D2156" s="656" t="s">
        <v>3435</v>
      </c>
      <c r="E2156" s="656" t="s">
        <v>2210</v>
      </c>
      <c r="F2156" s="655">
        <v>61012</v>
      </c>
      <c r="G2156" s="656" t="s">
        <v>81</v>
      </c>
      <c r="H2156" s="656" t="s">
        <v>1183</v>
      </c>
      <c r="I2156" s="656" t="s">
        <v>58</v>
      </c>
      <c r="J2156" s="655">
        <v>22</v>
      </c>
      <c r="K2156" s="655">
        <v>2</v>
      </c>
      <c r="L2156" s="656" t="s">
        <v>52</v>
      </c>
      <c r="M2156" s="656" t="s">
        <v>448</v>
      </c>
      <c r="N2156" s="656" t="s">
        <v>449</v>
      </c>
      <c r="O2156" s="656" t="s">
        <v>449</v>
      </c>
      <c r="P2156" s="656" t="s">
        <v>1176</v>
      </c>
      <c r="Q2156" s="657">
        <v>0</v>
      </c>
      <c r="R2156" s="657">
        <v>0</v>
      </c>
      <c r="S2156" s="657">
        <v>19322</v>
      </c>
      <c r="T2156" s="657">
        <v>19322</v>
      </c>
      <c r="U2156" s="657">
        <v>2185</v>
      </c>
      <c r="V2156" s="655">
        <v>2021</v>
      </c>
      <c r="W2156" s="659"/>
      <c r="X2156" s="660">
        <f t="shared" si="101"/>
        <v>8.8430205949656759</v>
      </c>
      <c r="Y2156" s="661" t="str">
        <f t="shared" si="99"/>
        <v/>
      </c>
      <c r="Z2156" s="661" t="str">
        <f t="shared" si="100"/>
        <v/>
      </c>
    </row>
    <row r="2157" spans="1:26" s="128" customFormat="1" ht="25">
      <c r="A2157" s="655">
        <v>64014</v>
      </c>
      <c r="B2157" s="656" t="s">
        <v>33</v>
      </c>
      <c r="C2157" s="655" t="s">
        <v>2793</v>
      </c>
      <c r="D2157" s="656" t="s">
        <v>3238</v>
      </c>
      <c r="E2157" s="656" t="s">
        <v>3239</v>
      </c>
      <c r="F2157" s="655">
        <v>63663</v>
      </c>
      <c r="G2157" s="656" t="s">
        <v>81</v>
      </c>
      <c r="H2157" s="656" t="s">
        <v>1183</v>
      </c>
      <c r="I2157" s="656" t="s">
        <v>58</v>
      </c>
      <c r="J2157" s="655">
        <v>22</v>
      </c>
      <c r="K2157" s="655">
        <v>2</v>
      </c>
      <c r="L2157" s="656" t="s">
        <v>52</v>
      </c>
      <c r="M2157" s="656" t="s">
        <v>448</v>
      </c>
      <c r="N2157" s="656" t="s">
        <v>449</v>
      </c>
      <c r="O2157" s="656" t="s">
        <v>449</v>
      </c>
      <c r="P2157" s="656" t="s">
        <v>1176</v>
      </c>
      <c r="Q2157" s="657">
        <v>0</v>
      </c>
      <c r="R2157" s="657">
        <v>0</v>
      </c>
      <c r="S2157" s="657">
        <v>65235</v>
      </c>
      <c r="T2157" s="657">
        <v>65235</v>
      </c>
      <c r="U2157" s="657">
        <v>7377</v>
      </c>
      <c r="V2157" s="655">
        <v>2021</v>
      </c>
      <c r="W2157" s="659"/>
      <c r="X2157" s="660">
        <f t="shared" si="101"/>
        <v>8.8430256201708008</v>
      </c>
      <c r="Y2157" s="661" t="str">
        <f t="shared" si="99"/>
        <v/>
      </c>
      <c r="Z2157" s="661" t="str">
        <f t="shared" si="100"/>
        <v/>
      </c>
    </row>
    <row r="2158" spans="1:26" s="128" customFormat="1" hidden="1">
      <c r="A2158" s="655">
        <v>64017</v>
      </c>
      <c r="B2158" s="656" t="s">
        <v>33</v>
      </c>
      <c r="C2158" s="655" t="s">
        <v>2793</v>
      </c>
      <c r="D2158" s="656" t="s">
        <v>3240</v>
      </c>
      <c r="E2158" s="656" t="s">
        <v>3241</v>
      </c>
      <c r="F2158" s="655">
        <v>63661</v>
      </c>
      <c r="G2158" s="656" t="s">
        <v>57</v>
      </c>
      <c r="H2158" s="656" t="s">
        <v>1182</v>
      </c>
      <c r="I2158" s="656" t="s">
        <v>58</v>
      </c>
      <c r="J2158" s="655">
        <v>22</v>
      </c>
      <c r="K2158" s="655">
        <v>2</v>
      </c>
      <c r="L2158" s="656" t="s">
        <v>52</v>
      </c>
      <c r="M2158" s="656" t="s">
        <v>448</v>
      </c>
      <c r="N2158" s="656" t="s">
        <v>449</v>
      </c>
      <c r="O2158" s="656" t="s">
        <v>449</v>
      </c>
      <c r="P2158" s="656" t="s">
        <v>1176</v>
      </c>
      <c r="Q2158" s="657">
        <v>0</v>
      </c>
      <c r="R2158" s="657">
        <v>0</v>
      </c>
      <c r="S2158" s="657">
        <v>53437</v>
      </c>
      <c r="T2158" s="657">
        <v>53437</v>
      </c>
      <c r="U2158" s="657">
        <v>6043</v>
      </c>
      <c r="V2158" s="655">
        <v>2021</v>
      </c>
      <c r="W2158" s="659"/>
      <c r="X2158" s="660">
        <f t="shared" si="101"/>
        <v>8.8427933145788522</v>
      </c>
      <c r="Y2158" s="661" t="str">
        <f t="shared" si="99"/>
        <v/>
      </c>
      <c r="Z2158" s="661" t="str">
        <f t="shared" si="100"/>
        <v/>
      </c>
    </row>
    <row r="2159" spans="1:26" s="128" customFormat="1" ht="25" hidden="1">
      <c r="A2159" s="655">
        <v>64030</v>
      </c>
      <c r="B2159" s="656" t="s">
        <v>33</v>
      </c>
      <c r="C2159" s="655" t="s">
        <v>2793</v>
      </c>
      <c r="D2159" s="656" t="s">
        <v>3242</v>
      </c>
      <c r="E2159" s="656" t="s">
        <v>3372</v>
      </c>
      <c r="F2159" s="655">
        <v>61944</v>
      </c>
      <c r="G2159" s="656" t="s">
        <v>57</v>
      </c>
      <c r="H2159" s="656" t="s">
        <v>1182</v>
      </c>
      <c r="I2159" s="656" t="s">
        <v>58</v>
      </c>
      <c r="J2159" s="655">
        <v>22</v>
      </c>
      <c r="K2159" s="655">
        <v>2</v>
      </c>
      <c r="L2159" s="656" t="s">
        <v>52</v>
      </c>
      <c r="M2159" s="656" t="s">
        <v>448</v>
      </c>
      <c r="N2159" s="656" t="s">
        <v>449</v>
      </c>
      <c r="O2159" s="656" t="s">
        <v>449</v>
      </c>
      <c r="P2159" s="656" t="s">
        <v>1176</v>
      </c>
      <c r="Q2159" s="657">
        <v>0</v>
      </c>
      <c r="R2159" s="657">
        <v>0</v>
      </c>
      <c r="S2159" s="657">
        <v>22011</v>
      </c>
      <c r="T2159" s="657">
        <v>22011</v>
      </c>
      <c r="U2159" s="657">
        <v>2489</v>
      </c>
      <c r="V2159" s="655">
        <v>2021</v>
      </c>
      <c r="W2159" s="659"/>
      <c r="X2159" s="660">
        <f t="shared" si="101"/>
        <v>8.8433105664925673</v>
      </c>
      <c r="Y2159" s="661" t="str">
        <f t="shared" si="99"/>
        <v/>
      </c>
      <c r="Z2159" s="661" t="str">
        <f t="shared" si="100"/>
        <v/>
      </c>
    </row>
    <row r="2160" spans="1:26" s="128" customFormat="1" hidden="1">
      <c r="A2160" s="655">
        <v>64041</v>
      </c>
      <c r="B2160" s="656" t="s">
        <v>33</v>
      </c>
      <c r="C2160" s="655" t="s">
        <v>2793</v>
      </c>
      <c r="D2160" s="656" t="s">
        <v>3243</v>
      </c>
      <c r="E2160" s="656" t="s">
        <v>3244</v>
      </c>
      <c r="F2160" s="655">
        <v>63681</v>
      </c>
      <c r="G2160" s="656" t="s">
        <v>57</v>
      </c>
      <c r="H2160" s="656" t="s">
        <v>1182</v>
      </c>
      <c r="I2160" s="656" t="s">
        <v>58</v>
      </c>
      <c r="J2160" s="655">
        <v>22</v>
      </c>
      <c r="K2160" s="655">
        <v>2</v>
      </c>
      <c r="L2160" s="656" t="s">
        <v>52</v>
      </c>
      <c r="M2160" s="656" t="s">
        <v>448</v>
      </c>
      <c r="N2160" s="656" t="s">
        <v>449</v>
      </c>
      <c r="O2160" s="656" t="s">
        <v>449</v>
      </c>
      <c r="P2160" s="656" t="s">
        <v>1176</v>
      </c>
      <c r="Q2160" s="657">
        <v>0</v>
      </c>
      <c r="R2160" s="657">
        <v>0</v>
      </c>
      <c r="S2160" s="657">
        <v>21940</v>
      </c>
      <c r="T2160" s="657">
        <v>21940</v>
      </c>
      <c r="U2160" s="657">
        <v>2481</v>
      </c>
      <c r="V2160" s="655">
        <v>2021</v>
      </c>
      <c r="W2160" s="659"/>
      <c r="X2160" s="660">
        <f t="shared" si="101"/>
        <v>8.8432083837162434</v>
      </c>
      <c r="Y2160" s="661" t="str">
        <f t="shared" si="99"/>
        <v/>
      </c>
      <c r="Z2160" s="661" t="str">
        <f t="shared" si="100"/>
        <v/>
      </c>
    </row>
    <row r="2161" spans="1:26" s="128" customFormat="1">
      <c r="A2161" s="655">
        <v>64042</v>
      </c>
      <c r="B2161" s="656" t="s">
        <v>33</v>
      </c>
      <c r="C2161" s="655" t="s">
        <v>2793</v>
      </c>
      <c r="D2161" s="656" t="s">
        <v>3245</v>
      </c>
      <c r="E2161" s="656" t="s">
        <v>3246</v>
      </c>
      <c r="F2161" s="655">
        <v>63682</v>
      </c>
      <c r="G2161" s="656" t="s">
        <v>81</v>
      </c>
      <c r="H2161" s="656" t="s">
        <v>1183</v>
      </c>
      <c r="I2161" s="656" t="s">
        <v>58</v>
      </c>
      <c r="J2161" s="655">
        <v>22</v>
      </c>
      <c r="K2161" s="655">
        <v>2</v>
      </c>
      <c r="L2161" s="656" t="s">
        <v>52</v>
      </c>
      <c r="M2161" s="656" t="s">
        <v>448</v>
      </c>
      <c r="N2161" s="656" t="s">
        <v>449</v>
      </c>
      <c r="O2161" s="656" t="s">
        <v>449</v>
      </c>
      <c r="P2161" s="656" t="s">
        <v>1176</v>
      </c>
      <c r="Q2161" s="657">
        <v>0</v>
      </c>
      <c r="R2161" s="657">
        <v>0</v>
      </c>
      <c r="S2161" s="657">
        <v>43215</v>
      </c>
      <c r="T2161" s="657">
        <v>43215</v>
      </c>
      <c r="U2161" s="657">
        <v>4887</v>
      </c>
      <c r="V2161" s="655">
        <v>2021</v>
      </c>
      <c r="W2161" s="659"/>
      <c r="X2161" s="660">
        <f t="shared" si="101"/>
        <v>8.842848373235114</v>
      </c>
      <c r="Y2161" s="661" t="str">
        <f t="shared" si="99"/>
        <v/>
      </c>
      <c r="Z2161" s="661" t="str">
        <f t="shared" si="100"/>
        <v/>
      </c>
    </row>
    <row r="2162" spans="1:26" s="128" customFormat="1" ht="25" hidden="1">
      <c r="A2162" s="655">
        <v>64044</v>
      </c>
      <c r="B2162" s="656" t="s">
        <v>33</v>
      </c>
      <c r="C2162" s="655" t="s">
        <v>2793</v>
      </c>
      <c r="D2162" s="656" t="s">
        <v>3247</v>
      </c>
      <c r="E2162" s="656" t="s">
        <v>3248</v>
      </c>
      <c r="F2162" s="655">
        <v>63684</v>
      </c>
      <c r="G2162" s="656" t="s">
        <v>57</v>
      </c>
      <c r="H2162" s="656" t="s">
        <v>1182</v>
      </c>
      <c r="I2162" s="656" t="s">
        <v>58</v>
      </c>
      <c r="J2162" s="655">
        <v>22</v>
      </c>
      <c r="K2162" s="655">
        <v>2</v>
      </c>
      <c r="L2162" s="656" t="s">
        <v>52</v>
      </c>
      <c r="M2162" s="656" t="s">
        <v>448</v>
      </c>
      <c r="N2162" s="656" t="s">
        <v>449</v>
      </c>
      <c r="O2162" s="656" t="s">
        <v>449</v>
      </c>
      <c r="P2162" s="656" t="s">
        <v>1176</v>
      </c>
      <c r="Q2162" s="657">
        <v>0</v>
      </c>
      <c r="R2162" s="657">
        <v>0</v>
      </c>
      <c r="S2162" s="657">
        <v>55694</v>
      </c>
      <c r="T2162" s="657">
        <v>55694</v>
      </c>
      <c r="U2162" s="657">
        <v>6298</v>
      </c>
      <c r="V2162" s="655">
        <v>2021</v>
      </c>
      <c r="W2162" s="659"/>
      <c r="X2162" s="660">
        <f t="shared" si="101"/>
        <v>8.8431248015242936</v>
      </c>
      <c r="Y2162" s="661" t="str">
        <f t="shared" si="99"/>
        <v/>
      </c>
      <c r="Z2162" s="661" t="str">
        <f t="shared" si="100"/>
        <v/>
      </c>
    </row>
    <row r="2163" spans="1:26" s="128" customFormat="1">
      <c r="A2163" s="655">
        <v>64045</v>
      </c>
      <c r="B2163" s="656" t="s">
        <v>33</v>
      </c>
      <c r="C2163" s="655" t="s">
        <v>2793</v>
      </c>
      <c r="D2163" s="656" t="s">
        <v>3249</v>
      </c>
      <c r="E2163" s="656" t="s">
        <v>3250</v>
      </c>
      <c r="F2163" s="655">
        <v>63685</v>
      </c>
      <c r="G2163" s="656" t="s">
        <v>81</v>
      </c>
      <c r="H2163" s="656" t="s">
        <v>1183</v>
      </c>
      <c r="I2163" s="656" t="s">
        <v>58</v>
      </c>
      <c r="J2163" s="655">
        <v>22</v>
      </c>
      <c r="K2163" s="655">
        <v>2</v>
      </c>
      <c r="L2163" s="656" t="s">
        <v>52</v>
      </c>
      <c r="M2163" s="656" t="s">
        <v>448</v>
      </c>
      <c r="N2163" s="656" t="s">
        <v>449</v>
      </c>
      <c r="O2163" s="656" t="s">
        <v>449</v>
      </c>
      <c r="P2163" s="656" t="s">
        <v>1176</v>
      </c>
      <c r="Q2163" s="657">
        <v>0</v>
      </c>
      <c r="R2163" s="657">
        <v>0</v>
      </c>
      <c r="S2163" s="657">
        <v>54040</v>
      </c>
      <c r="T2163" s="657">
        <v>54040</v>
      </c>
      <c r="U2163" s="657">
        <v>6111</v>
      </c>
      <c r="V2163" s="655">
        <v>2021</v>
      </c>
      <c r="W2163" s="659"/>
      <c r="X2163" s="660">
        <f t="shared" si="101"/>
        <v>8.8430698739977096</v>
      </c>
      <c r="Y2163" s="661" t="str">
        <f t="shared" si="99"/>
        <v/>
      </c>
      <c r="Z2163" s="661" t="str">
        <f t="shared" si="100"/>
        <v/>
      </c>
    </row>
    <row r="2164" spans="1:26" s="128" customFormat="1" ht="25" hidden="1">
      <c r="A2164" s="655">
        <v>64046</v>
      </c>
      <c r="B2164" s="656" t="s">
        <v>33</v>
      </c>
      <c r="C2164" s="655" t="s">
        <v>2793</v>
      </c>
      <c r="D2164" s="656" t="s">
        <v>3251</v>
      </c>
      <c r="E2164" s="656" t="s">
        <v>3252</v>
      </c>
      <c r="F2164" s="655">
        <v>63686</v>
      </c>
      <c r="G2164" s="656" t="s">
        <v>57</v>
      </c>
      <c r="H2164" s="656" t="s">
        <v>1182</v>
      </c>
      <c r="I2164" s="656" t="s">
        <v>58</v>
      </c>
      <c r="J2164" s="655">
        <v>22</v>
      </c>
      <c r="K2164" s="655">
        <v>2</v>
      </c>
      <c r="L2164" s="656" t="s">
        <v>52</v>
      </c>
      <c r="M2164" s="656" t="s">
        <v>448</v>
      </c>
      <c r="N2164" s="656" t="s">
        <v>449</v>
      </c>
      <c r="O2164" s="656" t="s">
        <v>449</v>
      </c>
      <c r="P2164" s="656" t="s">
        <v>1176</v>
      </c>
      <c r="Q2164" s="657">
        <v>0</v>
      </c>
      <c r="R2164" s="657">
        <v>0</v>
      </c>
      <c r="S2164" s="657">
        <v>53818</v>
      </c>
      <c r="T2164" s="657">
        <v>53818</v>
      </c>
      <c r="U2164" s="657">
        <v>6086</v>
      </c>
      <c r="V2164" s="655">
        <v>2021</v>
      </c>
      <c r="W2164" s="659"/>
      <c r="X2164" s="660">
        <f t="shared" si="101"/>
        <v>8.8429181728557342</v>
      </c>
      <c r="Y2164" s="661" t="str">
        <f t="shared" si="99"/>
        <v/>
      </c>
      <c r="Z2164" s="661" t="str">
        <f t="shared" si="100"/>
        <v/>
      </c>
    </row>
    <row r="2165" spans="1:26" s="128" customFormat="1" ht="25">
      <c r="A2165" s="655">
        <v>64060</v>
      </c>
      <c r="B2165" s="656" t="s">
        <v>33</v>
      </c>
      <c r="C2165" s="655" t="s">
        <v>2793</v>
      </c>
      <c r="D2165" s="656" t="s">
        <v>3436</v>
      </c>
      <c r="E2165" s="656" t="s">
        <v>372</v>
      </c>
      <c r="F2165" s="655">
        <v>11806</v>
      </c>
      <c r="G2165" s="656" t="s">
        <v>81</v>
      </c>
      <c r="H2165" s="656" t="s">
        <v>1183</v>
      </c>
      <c r="I2165" s="656" t="s">
        <v>58</v>
      </c>
      <c r="J2165" s="655">
        <v>22</v>
      </c>
      <c r="K2165" s="655">
        <v>1</v>
      </c>
      <c r="L2165" s="656" t="s">
        <v>34</v>
      </c>
      <c r="M2165" s="656" t="s">
        <v>448</v>
      </c>
      <c r="N2165" s="656" t="s">
        <v>449</v>
      </c>
      <c r="O2165" s="656" t="s">
        <v>449</v>
      </c>
      <c r="P2165" s="656" t="s">
        <v>1176</v>
      </c>
      <c r="Q2165" s="657">
        <v>0</v>
      </c>
      <c r="R2165" s="657">
        <v>0</v>
      </c>
      <c r="S2165" s="657">
        <v>42570</v>
      </c>
      <c r="T2165" s="657">
        <v>42570</v>
      </c>
      <c r="U2165" s="657">
        <v>4814</v>
      </c>
      <c r="V2165" s="655">
        <v>2021</v>
      </c>
      <c r="W2165" s="659"/>
      <c r="X2165" s="660">
        <f t="shared" si="101"/>
        <v>8.8429580390527622</v>
      </c>
      <c r="Y2165" s="661" t="str">
        <f t="shared" si="99"/>
        <v/>
      </c>
      <c r="Z2165" s="661" t="str">
        <f t="shared" si="100"/>
        <v/>
      </c>
    </row>
    <row r="2166" spans="1:26" s="128" customFormat="1" hidden="1">
      <c r="A2166" s="655">
        <v>64078</v>
      </c>
      <c r="B2166" s="656" t="s">
        <v>33</v>
      </c>
      <c r="C2166" s="655" t="s">
        <v>2793</v>
      </c>
      <c r="D2166" s="656" t="s">
        <v>3253</v>
      </c>
      <c r="E2166" s="656" t="s">
        <v>3254</v>
      </c>
      <c r="F2166" s="655">
        <v>63712</v>
      </c>
      <c r="G2166" s="656" t="s">
        <v>90</v>
      </c>
      <c r="H2166" s="656" t="s">
        <v>1183</v>
      </c>
      <c r="I2166" s="656" t="s">
        <v>58</v>
      </c>
      <c r="J2166" s="655">
        <v>22</v>
      </c>
      <c r="K2166" s="655">
        <v>2</v>
      </c>
      <c r="L2166" s="656" t="s">
        <v>52</v>
      </c>
      <c r="M2166" s="656" t="s">
        <v>448</v>
      </c>
      <c r="N2166" s="656" t="s">
        <v>449</v>
      </c>
      <c r="O2166" s="656" t="s">
        <v>449</v>
      </c>
      <c r="P2166" s="656" t="s">
        <v>1176</v>
      </c>
      <c r="Q2166" s="657">
        <v>0</v>
      </c>
      <c r="R2166" s="657">
        <v>0</v>
      </c>
      <c r="S2166" s="657">
        <v>147430</v>
      </c>
      <c r="T2166" s="657">
        <v>147430</v>
      </c>
      <c r="U2166" s="657">
        <v>16672</v>
      </c>
      <c r="V2166" s="655">
        <v>2021</v>
      </c>
      <c r="W2166" s="659"/>
      <c r="X2166" s="660">
        <f t="shared" si="101"/>
        <v>8.8429702495201532</v>
      </c>
      <c r="Y2166" s="661" t="str">
        <f t="shared" si="99"/>
        <v/>
      </c>
      <c r="Z2166" s="661" t="str">
        <f t="shared" si="100"/>
        <v/>
      </c>
    </row>
    <row r="2167" spans="1:26" s="128" customFormat="1" ht="25" hidden="1">
      <c r="A2167" s="655">
        <v>64084</v>
      </c>
      <c r="B2167" s="656" t="s">
        <v>33</v>
      </c>
      <c r="C2167" s="655" t="s">
        <v>2793</v>
      </c>
      <c r="D2167" s="656" t="s">
        <v>3255</v>
      </c>
      <c r="E2167" s="656" t="s">
        <v>3256</v>
      </c>
      <c r="F2167" s="655">
        <v>63707</v>
      </c>
      <c r="G2167" s="656" t="s">
        <v>57</v>
      </c>
      <c r="H2167" s="656" t="s">
        <v>1182</v>
      </c>
      <c r="I2167" s="656" t="s">
        <v>58</v>
      </c>
      <c r="J2167" s="655">
        <v>22</v>
      </c>
      <c r="K2167" s="655">
        <v>2</v>
      </c>
      <c r="L2167" s="656" t="s">
        <v>52</v>
      </c>
      <c r="M2167" s="656" t="s">
        <v>448</v>
      </c>
      <c r="N2167" s="656" t="s">
        <v>449</v>
      </c>
      <c r="O2167" s="656" t="s">
        <v>449</v>
      </c>
      <c r="P2167" s="656" t="s">
        <v>1176</v>
      </c>
      <c r="Q2167" s="657">
        <v>0</v>
      </c>
      <c r="R2167" s="657">
        <v>0</v>
      </c>
      <c r="S2167" s="657">
        <v>62538</v>
      </c>
      <c r="T2167" s="657">
        <v>62538</v>
      </c>
      <c r="U2167" s="657">
        <v>7072</v>
      </c>
      <c r="V2167" s="655">
        <v>2021</v>
      </c>
      <c r="W2167" s="659"/>
      <c r="X2167" s="660">
        <f t="shared" si="101"/>
        <v>8.8430429864253401</v>
      </c>
      <c r="Y2167" s="661" t="str">
        <f t="shared" si="99"/>
        <v/>
      </c>
      <c r="Z2167" s="661" t="str">
        <f t="shared" si="100"/>
        <v/>
      </c>
    </row>
    <row r="2168" spans="1:26" s="128" customFormat="1" hidden="1">
      <c r="A2168" s="655">
        <v>64085</v>
      </c>
      <c r="B2168" s="656" t="s">
        <v>33</v>
      </c>
      <c r="C2168" s="655" t="s">
        <v>2793</v>
      </c>
      <c r="D2168" s="656" t="s">
        <v>3257</v>
      </c>
      <c r="E2168" s="656" t="s">
        <v>3258</v>
      </c>
      <c r="F2168" s="655">
        <v>63693</v>
      </c>
      <c r="G2168" s="656" t="s">
        <v>131</v>
      </c>
      <c r="H2168" s="656" t="s">
        <v>1183</v>
      </c>
      <c r="I2168" s="656" t="s">
        <v>58</v>
      </c>
      <c r="J2168" s="655">
        <v>22</v>
      </c>
      <c r="K2168" s="655">
        <v>2</v>
      </c>
      <c r="L2168" s="656" t="s">
        <v>52</v>
      </c>
      <c r="M2168" s="656" t="s">
        <v>448</v>
      </c>
      <c r="N2168" s="656" t="s">
        <v>449</v>
      </c>
      <c r="O2168" s="656" t="s">
        <v>449</v>
      </c>
      <c r="P2168" s="656" t="s">
        <v>1176</v>
      </c>
      <c r="Q2168" s="657">
        <v>0</v>
      </c>
      <c r="R2168" s="657">
        <v>0</v>
      </c>
      <c r="S2168" s="657">
        <v>31966</v>
      </c>
      <c r="T2168" s="657">
        <v>31966</v>
      </c>
      <c r="U2168" s="657">
        <v>3615</v>
      </c>
      <c r="V2168" s="655">
        <v>2021</v>
      </c>
      <c r="W2168" s="659"/>
      <c r="X2168" s="660">
        <f t="shared" si="101"/>
        <v>8.8426002766251734</v>
      </c>
      <c r="Y2168" s="661" t="str">
        <f t="shared" si="99"/>
        <v/>
      </c>
      <c r="Z2168" s="661" t="str">
        <f t="shared" si="100"/>
        <v/>
      </c>
    </row>
    <row r="2169" spans="1:26" s="128" customFormat="1" ht="25" hidden="1">
      <c r="A2169" s="655">
        <v>64087</v>
      </c>
      <c r="B2169" s="656" t="s">
        <v>33</v>
      </c>
      <c r="C2169" s="655" t="s">
        <v>2793</v>
      </c>
      <c r="D2169" s="656" t="s">
        <v>3259</v>
      </c>
      <c r="E2169" s="656" t="s">
        <v>3260</v>
      </c>
      <c r="F2169" s="655">
        <v>63708</v>
      </c>
      <c r="G2169" s="656" t="s">
        <v>57</v>
      </c>
      <c r="H2169" s="656" t="s">
        <v>1182</v>
      </c>
      <c r="I2169" s="656" t="s">
        <v>58</v>
      </c>
      <c r="J2169" s="655">
        <v>22</v>
      </c>
      <c r="K2169" s="655">
        <v>2</v>
      </c>
      <c r="L2169" s="656" t="s">
        <v>52</v>
      </c>
      <c r="M2169" s="656" t="s">
        <v>448</v>
      </c>
      <c r="N2169" s="656" t="s">
        <v>449</v>
      </c>
      <c r="O2169" s="656" t="s">
        <v>449</v>
      </c>
      <c r="P2169" s="656" t="s">
        <v>1176</v>
      </c>
      <c r="Q2169" s="657">
        <v>0</v>
      </c>
      <c r="R2169" s="657">
        <v>0</v>
      </c>
      <c r="S2169" s="657">
        <v>65978</v>
      </c>
      <c r="T2169" s="657">
        <v>65978</v>
      </c>
      <c r="U2169" s="657">
        <v>7461</v>
      </c>
      <c r="V2169" s="655">
        <v>2021</v>
      </c>
      <c r="W2169" s="659"/>
      <c r="X2169" s="660">
        <f t="shared" si="101"/>
        <v>8.8430505294196493</v>
      </c>
      <c r="Y2169" s="661" t="str">
        <f t="shared" si="99"/>
        <v/>
      </c>
      <c r="Z2169" s="661" t="str">
        <f t="shared" si="100"/>
        <v/>
      </c>
    </row>
    <row r="2170" spans="1:26" s="128" customFormat="1" ht="25" hidden="1">
      <c r="A2170" s="655">
        <v>64090</v>
      </c>
      <c r="B2170" s="656" t="s">
        <v>33</v>
      </c>
      <c r="C2170" s="655" t="s">
        <v>2793</v>
      </c>
      <c r="D2170" s="656" t="s">
        <v>3261</v>
      </c>
      <c r="E2170" s="656" t="s">
        <v>3262</v>
      </c>
      <c r="F2170" s="655">
        <v>63709</v>
      </c>
      <c r="G2170" s="656" t="s">
        <v>57</v>
      </c>
      <c r="H2170" s="656" t="s">
        <v>1182</v>
      </c>
      <c r="I2170" s="656" t="s">
        <v>58</v>
      </c>
      <c r="J2170" s="655">
        <v>22</v>
      </c>
      <c r="K2170" s="655">
        <v>2</v>
      </c>
      <c r="L2170" s="656" t="s">
        <v>52</v>
      </c>
      <c r="M2170" s="656" t="s">
        <v>448</v>
      </c>
      <c r="N2170" s="656" t="s">
        <v>449</v>
      </c>
      <c r="O2170" s="656" t="s">
        <v>449</v>
      </c>
      <c r="P2170" s="656" t="s">
        <v>1176</v>
      </c>
      <c r="Q2170" s="657">
        <v>0</v>
      </c>
      <c r="R2170" s="657">
        <v>0</v>
      </c>
      <c r="S2170" s="657">
        <v>57965</v>
      </c>
      <c r="T2170" s="657">
        <v>57965</v>
      </c>
      <c r="U2170" s="657">
        <v>6555</v>
      </c>
      <c r="V2170" s="655">
        <v>2021</v>
      </c>
      <c r="W2170" s="659"/>
      <c r="X2170" s="660">
        <f t="shared" si="101"/>
        <v>8.8428680396643777</v>
      </c>
      <c r="Y2170" s="661" t="str">
        <f t="shared" si="99"/>
        <v/>
      </c>
      <c r="Z2170" s="661" t="str">
        <f t="shared" si="100"/>
        <v/>
      </c>
    </row>
    <row r="2171" spans="1:26" s="128" customFormat="1" ht="25" hidden="1">
      <c r="A2171" s="655">
        <v>64091</v>
      </c>
      <c r="B2171" s="656" t="s">
        <v>33</v>
      </c>
      <c r="C2171" s="655" t="s">
        <v>2793</v>
      </c>
      <c r="D2171" s="656" t="s">
        <v>3263</v>
      </c>
      <c r="E2171" s="656" t="s">
        <v>3264</v>
      </c>
      <c r="F2171" s="655">
        <v>63710</v>
      </c>
      <c r="G2171" s="656" t="s">
        <v>57</v>
      </c>
      <c r="H2171" s="656" t="s">
        <v>1182</v>
      </c>
      <c r="I2171" s="656" t="s">
        <v>58</v>
      </c>
      <c r="J2171" s="655">
        <v>22</v>
      </c>
      <c r="K2171" s="655">
        <v>2</v>
      </c>
      <c r="L2171" s="656" t="s">
        <v>52</v>
      </c>
      <c r="M2171" s="656" t="s">
        <v>448</v>
      </c>
      <c r="N2171" s="656" t="s">
        <v>449</v>
      </c>
      <c r="O2171" s="656" t="s">
        <v>449</v>
      </c>
      <c r="P2171" s="656" t="s">
        <v>1176</v>
      </c>
      <c r="Q2171" s="657">
        <v>0</v>
      </c>
      <c r="R2171" s="657">
        <v>0</v>
      </c>
      <c r="S2171" s="657">
        <v>52217</v>
      </c>
      <c r="T2171" s="657">
        <v>52217</v>
      </c>
      <c r="U2171" s="657">
        <v>5905</v>
      </c>
      <c r="V2171" s="655">
        <v>2021</v>
      </c>
      <c r="W2171" s="659"/>
      <c r="X2171" s="660">
        <f t="shared" si="101"/>
        <v>8.8428450465707034</v>
      </c>
      <c r="Y2171" s="661" t="str">
        <f t="shared" si="99"/>
        <v/>
      </c>
      <c r="Z2171" s="661" t="str">
        <f t="shared" si="100"/>
        <v/>
      </c>
    </row>
    <row r="2172" spans="1:26" s="128" customFormat="1" ht="25" hidden="1">
      <c r="A2172" s="655">
        <v>64092</v>
      </c>
      <c r="B2172" s="656" t="s">
        <v>33</v>
      </c>
      <c r="C2172" s="655" t="s">
        <v>2793</v>
      </c>
      <c r="D2172" s="656" t="s">
        <v>3265</v>
      </c>
      <c r="E2172" s="656" t="s">
        <v>3266</v>
      </c>
      <c r="F2172" s="655">
        <v>63711</v>
      </c>
      <c r="G2172" s="656" t="s">
        <v>57</v>
      </c>
      <c r="H2172" s="656" t="s">
        <v>1182</v>
      </c>
      <c r="I2172" s="656" t="s">
        <v>58</v>
      </c>
      <c r="J2172" s="655">
        <v>22</v>
      </c>
      <c r="K2172" s="655">
        <v>2</v>
      </c>
      <c r="L2172" s="656" t="s">
        <v>52</v>
      </c>
      <c r="M2172" s="656" t="s">
        <v>448</v>
      </c>
      <c r="N2172" s="656" t="s">
        <v>449</v>
      </c>
      <c r="O2172" s="656" t="s">
        <v>449</v>
      </c>
      <c r="P2172" s="656" t="s">
        <v>1176</v>
      </c>
      <c r="Q2172" s="657">
        <v>0</v>
      </c>
      <c r="R2172" s="657">
        <v>0</v>
      </c>
      <c r="S2172" s="657">
        <v>69338</v>
      </c>
      <c r="T2172" s="657">
        <v>69338</v>
      </c>
      <c r="U2172" s="657">
        <v>7841</v>
      </c>
      <c r="V2172" s="655">
        <v>2021</v>
      </c>
      <c r="W2172" s="659"/>
      <c r="X2172" s="660">
        <f t="shared" si="101"/>
        <v>8.8430047187858687</v>
      </c>
      <c r="Y2172" s="661" t="str">
        <f t="shared" si="99"/>
        <v/>
      </c>
      <c r="Z2172" s="661" t="str">
        <f t="shared" si="100"/>
        <v/>
      </c>
    </row>
    <row r="2173" spans="1:26" s="128" customFormat="1" hidden="1">
      <c r="A2173" s="655">
        <v>64102</v>
      </c>
      <c r="B2173" s="656" t="s">
        <v>33</v>
      </c>
      <c r="C2173" s="655" t="s">
        <v>2793</v>
      </c>
      <c r="D2173" s="656" t="s">
        <v>3267</v>
      </c>
      <c r="E2173" s="656" t="s">
        <v>3268</v>
      </c>
      <c r="F2173" s="655">
        <v>63730</v>
      </c>
      <c r="G2173" s="656" t="s">
        <v>57</v>
      </c>
      <c r="H2173" s="656" t="s">
        <v>1182</v>
      </c>
      <c r="I2173" s="656" t="s">
        <v>58</v>
      </c>
      <c r="J2173" s="655">
        <v>22</v>
      </c>
      <c r="K2173" s="655">
        <v>2</v>
      </c>
      <c r="L2173" s="656" t="s">
        <v>52</v>
      </c>
      <c r="M2173" s="656" t="s">
        <v>448</v>
      </c>
      <c r="N2173" s="656" t="s">
        <v>449</v>
      </c>
      <c r="O2173" s="656" t="s">
        <v>449</v>
      </c>
      <c r="P2173" s="656" t="s">
        <v>1176</v>
      </c>
      <c r="Q2173" s="657">
        <v>0</v>
      </c>
      <c r="R2173" s="657">
        <v>0</v>
      </c>
      <c r="S2173" s="657">
        <v>90314</v>
      </c>
      <c r="T2173" s="657">
        <v>90314</v>
      </c>
      <c r="U2173" s="657">
        <v>10213</v>
      </c>
      <c r="V2173" s="655">
        <v>2021</v>
      </c>
      <c r="W2173" s="659"/>
      <c r="X2173" s="660">
        <f t="shared" si="101"/>
        <v>8.8430431802604517</v>
      </c>
      <c r="Y2173" s="661" t="str">
        <f t="shared" si="99"/>
        <v/>
      </c>
      <c r="Z2173" s="661" t="str">
        <f t="shared" si="100"/>
        <v/>
      </c>
    </row>
    <row r="2174" spans="1:26" s="128" customFormat="1">
      <c r="A2174" s="655">
        <v>64107</v>
      </c>
      <c r="B2174" s="656" t="s">
        <v>33</v>
      </c>
      <c r="C2174" s="655" t="s">
        <v>2793</v>
      </c>
      <c r="D2174" s="656" t="s">
        <v>3269</v>
      </c>
      <c r="E2174" s="656" t="s">
        <v>3270</v>
      </c>
      <c r="F2174" s="655">
        <v>63735</v>
      </c>
      <c r="G2174" s="656" t="s">
        <v>81</v>
      </c>
      <c r="H2174" s="656" t="s">
        <v>1183</v>
      </c>
      <c r="I2174" s="656" t="s">
        <v>58</v>
      </c>
      <c r="J2174" s="655">
        <v>22</v>
      </c>
      <c r="K2174" s="655">
        <v>2</v>
      </c>
      <c r="L2174" s="656" t="s">
        <v>52</v>
      </c>
      <c r="M2174" s="656" t="s">
        <v>448</v>
      </c>
      <c r="N2174" s="656" t="s">
        <v>449</v>
      </c>
      <c r="O2174" s="656" t="s">
        <v>449</v>
      </c>
      <c r="P2174" s="656" t="s">
        <v>1176</v>
      </c>
      <c r="Q2174" s="657">
        <v>0</v>
      </c>
      <c r="R2174" s="657">
        <v>0</v>
      </c>
      <c r="S2174" s="657">
        <v>55137</v>
      </c>
      <c r="T2174" s="657">
        <v>55137</v>
      </c>
      <c r="U2174" s="657">
        <v>6235</v>
      </c>
      <c r="V2174" s="655">
        <v>2021</v>
      </c>
      <c r="W2174" s="659"/>
      <c r="X2174" s="660">
        <f t="shared" si="101"/>
        <v>8.8431435445068161</v>
      </c>
      <c r="Y2174" s="661" t="str">
        <f t="shared" si="99"/>
        <v/>
      </c>
      <c r="Z2174" s="661" t="str">
        <f t="shared" si="100"/>
        <v/>
      </c>
    </row>
    <row r="2175" spans="1:26" s="128" customFormat="1" ht="25" hidden="1">
      <c r="A2175" s="655">
        <v>64108</v>
      </c>
      <c r="B2175" s="656" t="s">
        <v>33</v>
      </c>
      <c r="C2175" s="655" t="s">
        <v>2793</v>
      </c>
      <c r="D2175" s="656" t="s">
        <v>3271</v>
      </c>
      <c r="E2175" s="656" t="s">
        <v>3272</v>
      </c>
      <c r="F2175" s="655">
        <v>63737</v>
      </c>
      <c r="G2175" s="656" t="s">
        <v>131</v>
      </c>
      <c r="H2175" s="656" t="s">
        <v>1183</v>
      </c>
      <c r="I2175" s="656" t="s">
        <v>58</v>
      </c>
      <c r="J2175" s="655">
        <v>22</v>
      </c>
      <c r="K2175" s="655">
        <v>2</v>
      </c>
      <c r="L2175" s="656" t="s">
        <v>52</v>
      </c>
      <c r="M2175" s="656" t="s">
        <v>448</v>
      </c>
      <c r="N2175" s="656" t="s">
        <v>449</v>
      </c>
      <c r="O2175" s="656" t="s">
        <v>449</v>
      </c>
      <c r="P2175" s="656" t="s">
        <v>1176</v>
      </c>
      <c r="Q2175" s="657">
        <v>0</v>
      </c>
      <c r="R2175" s="657">
        <v>0</v>
      </c>
      <c r="S2175" s="657">
        <v>246543</v>
      </c>
      <c r="T2175" s="657">
        <v>246543</v>
      </c>
      <c r="U2175" s="657">
        <v>27880</v>
      </c>
      <c r="V2175" s="655">
        <v>2021</v>
      </c>
      <c r="W2175" s="659"/>
      <c r="X2175" s="660">
        <f t="shared" si="101"/>
        <v>8.8430057388809189</v>
      </c>
      <c r="Y2175" s="661" t="str">
        <f t="shared" si="99"/>
        <v/>
      </c>
      <c r="Z2175" s="661" t="str">
        <f t="shared" si="100"/>
        <v/>
      </c>
    </row>
    <row r="2176" spans="1:26" s="128" customFormat="1">
      <c r="A2176" s="655">
        <v>64109</v>
      </c>
      <c r="B2176" s="656" t="s">
        <v>33</v>
      </c>
      <c r="C2176" s="655" t="s">
        <v>2793</v>
      </c>
      <c r="D2176" s="656" t="s">
        <v>3273</v>
      </c>
      <c r="E2176" s="656" t="s">
        <v>3274</v>
      </c>
      <c r="F2176" s="655">
        <v>63738</v>
      </c>
      <c r="G2176" s="656" t="s">
        <v>81</v>
      </c>
      <c r="H2176" s="656" t="s">
        <v>1183</v>
      </c>
      <c r="I2176" s="656" t="s">
        <v>58</v>
      </c>
      <c r="J2176" s="655">
        <v>22</v>
      </c>
      <c r="K2176" s="655">
        <v>2</v>
      </c>
      <c r="L2176" s="656" t="s">
        <v>52</v>
      </c>
      <c r="M2176" s="656" t="s">
        <v>448</v>
      </c>
      <c r="N2176" s="656" t="s">
        <v>449</v>
      </c>
      <c r="O2176" s="656" t="s">
        <v>449</v>
      </c>
      <c r="P2176" s="656" t="s">
        <v>1176</v>
      </c>
      <c r="Q2176" s="657">
        <v>0</v>
      </c>
      <c r="R2176" s="657">
        <v>0</v>
      </c>
      <c r="S2176" s="657">
        <v>61760</v>
      </c>
      <c r="T2176" s="657">
        <v>61760</v>
      </c>
      <c r="U2176" s="657">
        <v>6984</v>
      </c>
      <c r="V2176" s="655">
        <v>2021</v>
      </c>
      <c r="W2176" s="659"/>
      <c r="X2176" s="660">
        <f t="shared" si="101"/>
        <v>8.8430698739977096</v>
      </c>
      <c r="Y2176" s="661" t="str">
        <f t="shared" si="99"/>
        <v/>
      </c>
      <c r="Z2176" s="661" t="str">
        <f t="shared" si="100"/>
        <v/>
      </c>
    </row>
    <row r="2177" spans="1:26" s="128" customFormat="1">
      <c r="A2177" s="655">
        <v>64110</v>
      </c>
      <c r="B2177" s="656" t="s">
        <v>33</v>
      </c>
      <c r="C2177" s="655" t="s">
        <v>2793</v>
      </c>
      <c r="D2177" s="656" t="s">
        <v>3275</v>
      </c>
      <c r="E2177" s="656" t="s">
        <v>3276</v>
      </c>
      <c r="F2177" s="655">
        <v>63739</v>
      </c>
      <c r="G2177" s="656" t="s">
        <v>81</v>
      </c>
      <c r="H2177" s="656" t="s">
        <v>1183</v>
      </c>
      <c r="I2177" s="656" t="s">
        <v>58</v>
      </c>
      <c r="J2177" s="655">
        <v>22</v>
      </c>
      <c r="K2177" s="655">
        <v>2</v>
      </c>
      <c r="L2177" s="656" t="s">
        <v>52</v>
      </c>
      <c r="M2177" s="656" t="s">
        <v>448</v>
      </c>
      <c r="N2177" s="656" t="s">
        <v>449</v>
      </c>
      <c r="O2177" s="656" t="s">
        <v>449</v>
      </c>
      <c r="P2177" s="656" t="s">
        <v>1176</v>
      </c>
      <c r="Q2177" s="657">
        <v>0</v>
      </c>
      <c r="R2177" s="657">
        <v>0</v>
      </c>
      <c r="S2177" s="657">
        <v>51237</v>
      </c>
      <c r="T2177" s="657">
        <v>51237</v>
      </c>
      <c r="U2177" s="657">
        <v>5794</v>
      </c>
      <c r="V2177" s="655">
        <v>2021</v>
      </c>
      <c r="W2177" s="659"/>
      <c r="X2177" s="660">
        <f t="shared" si="101"/>
        <v>8.8431135657576796</v>
      </c>
      <c r="Y2177" s="661" t="str">
        <f t="shared" si="99"/>
        <v/>
      </c>
      <c r="Z2177" s="661" t="str">
        <f t="shared" si="100"/>
        <v/>
      </c>
    </row>
    <row r="2178" spans="1:26" s="128" customFormat="1" ht="25" hidden="1">
      <c r="A2178" s="655">
        <v>64111</v>
      </c>
      <c r="B2178" s="656" t="s">
        <v>33</v>
      </c>
      <c r="C2178" s="655" t="s">
        <v>2793</v>
      </c>
      <c r="D2178" s="656" t="s">
        <v>3277</v>
      </c>
      <c r="E2178" s="656" t="s">
        <v>3278</v>
      </c>
      <c r="F2178" s="655">
        <v>63740</v>
      </c>
      <c r="G2178" s="656" t="s">
        <v>131</v>
      </c>
      <c r="H2178" s="656" t="s">
        <v>1183</v>
      </c>
      <c r="I2178" s="656" t="s">
        <v>58</v>
      </c>
      <c r="J2178" s="655">
        <v>22</v>
      </c>
      <c r="K2178" s="655">
        <v>2</v>
      </c>
      <c r="L2178" s="656" t="s">
        <v>52</v>
      </c>
      <c r="M2178" s="656" t="s">
        <v>448</v>
      </c>
      <c r="N2178" s="656" t="s">
        <v>449</v>
      </c>
      <c r="O2178" s="656" t="s">
        <v>449</v>
      </c>
      <c r="P2178" s="656" t="s">
        <v>1176</v>
      </c>
      <c r="Q2178" s="657">
        <v>0</v>
      </c>
      <c r="R2178" s="657">
        <v>0</v>
      </c>
      <c r="S2178" s="657">
        <v>25593</v>
      </c>
      <c r="T2178" s="657">
        <v>25593</v>
      </c>
      <c r="U2178" s="657">
        <v>2894</v>
      </c>
      <c r="V2178" s="655">
        <v>2021</v>
      </c>
      <c r="W2178" s="659"/>
      <c r="X2178" s="660">
        <f t="shared" si="101"/>
        <v>8.8434692467173459</v>
      </c>
      <c r="Y2178" s="661" t="str">
        <f t="shared" si="99"/>
        <v/>
      </c>
      <c r="Z2178" s="661" t="str">
        <f t="shared" si="100"/>
        <v/>
      </c>
    </row>
    <row r="2179" spans="1:26" s="128" customFormat="1">
      <c r="A2179" s="655">
        <v>64112</v>
      </c>
      <c r="B2179" s="656" t="s">
        <v>33</v>
      </c>
      <c r="C2179" s="655" t="s">
        <v>2793</v>
      </c>
      <c r="D2179" s="656" t="s">
        <v>3279</v>
      </c>
      <c r="E2179" s="656" t="s">
        <v>3280</v>
      </c>
      <c r="F2179" s="655">
        <v>63741</v>
      </c>
      <c r="G2179" s="656" t="s">
        <v>81</v>
      </c>
      <c r="H2179" s="656" t="s">
        <v>1183</v>
      </c>
      <c r="I2179" s="656" t="s">
        <v>58</v>
      </c>
      <c r="J2179" s="655">
        <v>22</v>
      </c>
      <c r="K2179" s="655">
        <v>2</v>
      </c>
      <c r="L2179" s="656" t="s">
        <v>52</v>
      </c>
      <c r="M2179" s="656" t="s">
        <v>448</v>
      </c>
      <c r="N2179" s="656" t="s">
        <v>449</v>
      </c>
      <c r="O2179" s="656" t="s">
        <v>449</v>
      </c>
      <c r="P2179" s="656" t="s">
        <v>1176</v>
      </c>
      <c r="Q2179" s="657">
        <v>0</v>
      </c>
      <c r="R2179" s="657">
        <v>0</v>
      </c>
      <c r="S2179" s="657">
        <v>36850</v>
      </c>
      <c r="T2179" s="657">
        <v>36850</v>
      </c>
      <c r="U2179" s="657">
        <v>4167</v>
      </c>
      <c r="V2179" s="655">
        <v>2021</v>
      </c>
      <c r="W2179" s="659"/>
      <c r="X2179" s="660">
        <f t="shared" si="101"/>
        <v>8.8432925365970725</v>
      </c>
      <c r="Y2179" s="661" t="str">
        <f t="shared" si="99"/>
        <v/>
      </c>
      <c r="Z2179" s="661" t="str">
        <f t="shared" si="100"/>
        <v/>
      </c>
    </row>
    <row r="2180" spans="1:26" s="128" customFormat="1" ht="25" hidden="1">
      <c r="A2180" s="655">
        <v>64113</v>
      </c>
      <c r="B2180" s="656" t="s">
        <v>33</v>
      </c>
      <c r="C2180" s="655" t="s">
        <v>2793</v>
      </c>
      <c r="D2180" s="656" t="s">
        <v>3281</v>
      </c>
      <c r="E2180" s="656" t="s">
        <v>3282</v>
      </c>
      <c r="F2180" s="655">
        <v>63742</v>
      </c>
      <c r="G2180" s="656" t="s">
        <v>131</v>
      </c>
      <c r="H2180" s="656" t="s">
        <v>1183</v>
      </c>
      <c r="I2180" s="656" t="s">
        <v>58</v>
      </c>
      <c r="J2180" s="655">
        <v>22</v>
      </c>
      <c r="K2180" s="655">
        <v>2</v>
      </c>
      <c r="L2180" s="656" t="s">
        <v>52</v>
      </c>
      <c r="M2180" s="656" t="s">
        <v>448</v>
      </c>
      <c r="N2180" s="656" t="s">
        <v>449</v>
      </c>
      <c r="O2180" s="656" t="s">
        <v>449</v>
      </c>
      <c r="P2180" s="656" t="s">
        <v>1176</v>
      </c>
      <c r="Q2180" s="657">
        <v>0</v>
      </c>
      <c r="R2180" s="657">
        <v>0</v>
      </c>
      <c r="S2180" s="657">
        <v>73919</v>
      </c>
      <c r="T2180" s="657">
        <v>73919</v>
      </c>
      <c r="U2180" s="657">
        <v>8359</v>
      </c>
      <c r="V2180" s="655">
        <v>2021</v>
      </c>
      <c r="W2180" s="659"/>
      <c r="X2180" s="660">
        <f t="shared" si="101"/>
        <v>8.8430434262471582</v>
      </c>
      <c r="Y2180" s="661" t="str">
        <f t="shared" si="99"/>
        <v/>
      </c>
      <c r="Z2180" s="661" t="str">
        <f t="shared" si="100"/>
        <v/>
      </c>
    </row>
    <row r="2181" spans="1:26" s="128" customFormat="1" ht="25" hidden="1">
      <c r="A2181" s="655">
        <v>64114</v>
      </c>
      <c r="B2181" s="656" t="s">
        <v>33</v>
      </c>
      <c r="C2181" s="655" t="s">
        <v>2793</v>
      </c>
      <c r="D2181" s="656" t="s">
        <v>3283</v>
      </c>
      <c r="E2181" s="656" t="s">
        <v>3284</v>
      </c>
      <c r="F2181" s="655">
        <v>63743</v>
      </c>
      <c r="G2181" s="656" t="s">
        <v>131</v>
      </c>
      <c r="H2181" s="656" t="s">
        <v>1183</v>
      </c>
      <c r="I2181" s="656" t="s">
        <v>58</v>
      </c>
      <c r="J2181" s="655">
        <v>22</v>
      </c>
      <c r="K2181" s="655">
        <v>2</v>
      </c>
      <c r="L2181" s="656" t="s">
        <v>52</v>
      </c>
      <c r="M2181" s="656" t="s">
        <v>448</v>
      </c>
      <c r="N2181" s="656" t="s">
        <v>449</v>
      </c>
      <c r="O2181" s="656" t="s">
        <v>449</v>
      </c>
      <c r="P2181" s="656" t="s">
        <v>1176</v>
      </c>
      <c r="Q2181" s="657">
        <v>0</v>
      </c>
      <c r="R2181" s="657">
        <v>0</v>
      </c>
      <c r="S2181" s="657">
        <v>17686</v>
      </c>
      <c r="T2181" s="657">
        <v>17686</v>
      </c>
      <c r="U2181" s="657">
        <v>2000</v>
      </c>
      <c r="V2181" s="655">
        <v>2021</v>
      </c>
      <c r="W2181" s="659"/>
      <c r="X2181" s="660">
        <f t="shared" si="101"/>
        <v>8.843</v>
      </c>
      <c r="Y2181" s="661" t="str">
        <f t="shared" si="99"/>
        <v/>
      </c>
      <c r="Z2181" s="661" t="str">
        <f t="shared" si="100"/>
        <v/>
      </c>
    </row>
    <row r="2182" spans="1:26" s="128" customFormat="1">
      <c r="A2182" s="655">
        <v>64115</v>
      </c>
      <c r="B2182" s="656" t="s">
        <v>33</v>
      </c>
      <c r="C2182" s="655" t="s">
        <v>2793</v>
      </c>
      <c r="D2182" s="656" t="s">
        <v>3285</v>
      </c>
      <c r="E2182" s="656" t="s">
        <v>3286</v>
      </c>
      <c r="F2182" s="655">
        <v>63744</v>
      </c>
      <c r="G2182" s="656" t="s">
        <v>81</v>
      </c>
      <c r="H2182" s="656" t="s">
        <v>1183</v>
      </c>
      <c r="I2182" s="656" t="s">
        <v>58</v>
      </c>
      <c r="J2182" s="655">
        <v>22</v>
      </c>
      <c r="K2182" s="655">
        <v>2</v>
      </c>
      <c r="L2182" s="656" t="s">
        <v>52</v>
      </c>
      <c r="M2182" s="656" t="s">
        <v>448</v>
      </c>
      <c r="N2182" s="656" t="s">
        <v>449</v>
      </c>
      <c r="O2182" s="656" t="s">
        <v>449</v>
      </c>
      <c r="P2182" s="656" t="s">
        <v>1176</v>
      </c>
      <c r="Q2182" s="657">
        <v>0</v>
      </c>
      <c r="R2182" s="657">
        <v>0</v>
      </c>
      <c r="S2182" s="657">
        <v>18058</v>
      </c>
      <c r="T2182" s="657">
        <v>18058</v>
      </c>
      <c r="U2182" s="657">
        <v>2042</v>
      </c>
      <c r="V2182" s="655">
        <v>2021</v>
      </c>
      <c r="W2182" s="659"/>
      <c r="X2182" s="660">
        <f t="shared" si="101"/>
        <v>8.8432908912830559</v>
      </c>
      <c r="Y2182" s="661" t="str">
        <f t="shared" si="99"/>
        <v/>
      </c>
      <c r="Z2182" s="661" t="str">
        <f t="shared" si="100"/>
        <v/>
      </c>
    </row>
    <row r="2183" spans="1:26" s="128" customFormat="1" ht="25" hidden="1">
      <c r="A2183" s="655">
        <v>64116</v>
      </c>
      <c r="B2183" s="656" t="s">
        <v>33</v>
      </c>
      <c r="C2183" s="655" t="s">
        <v>2793</v>
      </c>
      <c r="D2183" s="656" t="s">
        <v>3287</v>
      </c>
      <c r="E2183" s="656" t="s">
        <v>3288</v>
      </c>
      <c r="F2183" s="655">
        <v>63745</v>
      </c>
      <c r="G2183" s="656" t="s">
        <v>131</v>
      </c>
      <c r="H2183" s="656" t="s">
        <v>1183</v>
      </c>
      <c r="I2183" s="656" t="s">
        <v>58</v>
      </c>
      <c r="J2183" s="655">
        <v>22</v>
      </c>
      <c r="K2183" s="655">
        <v>2</v>
      </c>
      <c r="L2183" s="656" t="s">
        <v>52</v>
      </c>
      <c r="M2183" s="656" t="s">
        <v>448</v>
      </c>
      <c r="N2183" s="656" t="s">
        <v>449</v>
      </c>
      <c r="O2183" s="656" t="s">
        <v>449</v>
      </c>
      <c r="P2183" s="656" t="s">
        <v>1176</v>
      </c>
      <c r="Q2183" s="657">
        <v>0</v>
      </c>
      <c r="R2183" s="657">
        <v>0</v>
      </c>
      <c r="S2183" s="657">
        <v>31878</v>
      </c>
      <c r="T2183" s="657">
        <v>31878</v>
      </c>
      <c r="U2183" s="657">
        <v>3605</v>
      </c>
      <c r="V2183" s="655">
        <v>2021</v>
      </c>
      <c r="W2183" s="659"/>
      <c r="X2183" s="660">
        <f t="shared" si="101"/>
        <v>8.8427184466019426</v>
      </c>
      <c r="Y2183" s="661" t="str">
        <f t="shared" ref="Y2183:Y2246" si="102">IF(AND($M2183=$Y$2,$N2183=$Y$3,NOT($Q2183=$R2183),NOT($U2183=0)),IF($K2183=5,$S2183/($U2183+(8/5)*$U2183),IF($K2183=7,$S2183/($U2183+(29/25)*$U2183),"")),"")</f>
        <v/>
      </c>
      <c r="Z2183" s="661" t="str">
        <f t="shared" ref="Z2183:Z2246" si="103">IF(AND($M2183=$Y$2,$N2183=$Y$4,NOT($Q2183=$R2183),NOT($U2183=0)),IF($K2183=5,$S2183/($U2183+(8/5)*$U2183),IF($K2183=7,$S2183/($U2183+(29/25)*$U2183),"")),"")</f>
        <v/>
      </c>
    </row>
    <row r="2184" spans="1:26" s="128" customFormat="1">
      <c r="A2184" s="655">
        <v>64120</v>
      </c>
      <c r="B2184" s="656" t="s">
        <v>33</v>
      </c>
      <c r="C2184" s="655" t="s">
        <v>2793</v>
      </c>
      <c r="D2184" s="656" t="s">
        <v>3289</v>
      </c>
      <c r="E2184" s="656" t="s">
        <v>3290</v>
      </c>
      <c r="F2184" s="655">
        <v>63736</v>
      </c>
      <c r="G2184" s="656" t="s">
        <v>81</v>
      </c>
      <c r="H2184" s="656" t="s">
        <v>1183</v>
      </c>
      <c r="I2184" s="656" t="s">
        <v>58</v>
      </c>
      <c r="J2184" s="655">
        <v>22</v>
      </c>
      <c r="K2184" s="655">
        <v>2</v>
      </c>
      <c r="L2184" s="656" t="s">
        <v>52</v>
      </c>
      <c r="M2184" s="656" t="s">
        <v>448</v>
      </c>
      <c r="N2184" s="656" t="s">
        <v>449</v>
      </c>
      <c r="O2184" s="656" t="s">
        <v>449</v>
      </c>
      <c r="P2184" s="656" t="s">
        <v>1176</v>
      </c>
      <c r="Q2184" s="657">
        <v>0</v>
      </c>
      <c r="R2184" s="657">
        <v>0</v>
      </c>
      <c r="S2184" s="657">
        <v>23575</v>
      </c>
      <c r="T2184" s="657">
        <v>23575</v>
      </c>
      <c r="U2184" s="657">
        <v>2666</v>
      </c>
      <c r="V2184" s="655">
        <v>2021</v>
      </c>
      <c r="W2184" s="659"/>
      <c r="X2184" s="660">
        <f t="shared" ref="X2184:X2247" si="104">IF(OR(K2184&gt;3,T2184=0,NOT(U2184&gt;0)),"",T2184/U2184)</f>
        <v>8.8428357089272325</v>
      </c>
      <c r="Y2184" s="661" t="str">
        <f t="shared" si="102"/>
        <v/>
      </c>
      <c r="Z2184" s="661" t="str">
        <f t="shared" si="103"/>
        <v/>
      </c>
    </row>
    <row r="2185" spans="1:26" s="128" customFormat="1" hidden="1">
      <c r="A2185" s="655">
        <v>64125</v>
      </c>
      <c r="B2185" s="656" t="s">
        <v>33</v>
      </c>
      <c r="C2185" s="655" t="s">
        <v>2793</v>
      </c>
      <c r="D2185" s="656" t="s">
        <v>3437</v>
      </c>
      <c r="E2185" s="656" t="s">
        <v>3150</v>
      </c>
      <c r="F2185" s="655">
        <v>63244</v>
      </c>
      <c r="G2185" s="656" t="s">
        <v>57</v>
      </c>
      <c r="H2185" s="656" t="s">
        <v>1182</v>
      </c>
      <c r="I2185" s="656" t="s">
        <v>58</v>
      </c>
      <c r="J2185" s="655">
        <v>22</v>
      </c>
      <c r="K2185" s="655">
        <v>2</v>
      </c>
      <c r="L2185" s="656" t="s">
        <v>52</v>
      </c>
      <c r="M2185" s="656" t="s">
        <v>448</v>
      </c>
      <c r="N2185" s="656" t="s">
        <v>449</v>
      </c>
      <c r="O2185" s="656" t="s">
        <v>449</v>
      </c>
      <c r="P2185" s="656" t="s">
        <v>1176</v>
      </c>
      <c r="Q2185" s="657">
        <v>0</v>
      </c>
      <c r="R2185" s="657">
        <v>0</v>
      </c>
      <c r="S2185" s="657">
        <v>54296</v>
      </c>
      <c r="T2185" s="657">
        <v>54296</v>
      </c>
      <c r="U2185" s="657">
        <v>6140</v>
      </c>
      <c r="V2185" s="655">
        <v>2021</v>
      </c>
      <c r="W2185" s="659"/>
      <c r="X2185" s="660">
        <f t="shared" si="104"/>
        <v>8.8429967426710103</v>
      </c>
      <c r="Y2185" s="661" t="str">
        <f t="shared" si="102"/>
        <v/>
      </c>
      <c r="Z2185" s="661" t="str">
        <f t="shared" si="103"/>
        <v/>
      </c>
    </row>
    <row r="2186" spans="1:26" s="128" customFormat="1" hidden="1">
      <c r="A2186" s="655">
        <v>64126</v>
      </c>
      <c r="B2186" s="656" t="s">
        <v>33</v>
      </c>
      <c r="C2186" s="655" t="s">
        <v>2793</v>
      </c>
      <c r="D2186" s="656" t="s">
        <v>3291</v>
      </c>
      <c r="E2186" s="656" t="s">
        <v>3150</v>
      </c>
      <c r="F2186" s="655">
        <v>63244</v>
      </c>
      <c r="G2186" s="656" t="s">
        <v>57</v>
      </c>
      <c r="H2186" s="656" t="s">
        <v>1182</v>
      </c>
      <c r="I2186" s="656" t="s">
        <v>58</v>
      </c>
      <c r="J2186" s="655">
        <v>22</v>
      </c>
      <c r="K2186" s="655">
        <v>2</v>
      </c>
      <c r="L2186" s="656" t="s">
        <v>52</v>
      </c>
      <c r="M2186" s="656" t="s">
        <v>448</v>
      </c>
      <c r="N2186" s="656" t="s">
        <v>449</v>
      </c>
      <c r="O2186" s="656" t="s">
        <v>449</v>
      </c>
      <c r="P2186" s="656" t="s">
        <v>1176</v>
      </c>
      <c r="Q2186" s="657">
        <v>0</v>
      </c>
      <c r="R2186" s="657">
        <v>0</v>
      </c>
      <c r="S2186" s="657">
        <v>24787</v>
      </c>
      <c r="T2186" s="657">
        <v>24787</v>
      </c>
      <c r="U2186" s="657">
        <v>2803</v>
      </c>
      <c r="V2186" s="655">
        <v>2021</v>
      </c>
      <c r="W2186" s="659"/>
      <c r="X2186" s="660">
        <f t="shared" si="104"/>
        <v>8.8430253300035684</v>
      </c>
      <c r="Y2186" s="661" t="str">
        <f t="shared" si="102"/>
        <v/>
      </c>
      <c r="Z2186" s="661" t="str">
        <f t="shared" si="103"/>
        <v/>
      </c>
    </row>
    <row r="2187" spans="1:26" s="128" customFormat="1" hidden="1">
      <c r="A2187" s="655">
        <v>64127</v>
      </c>
      <c r="B2187" s="656" t="s">
        <v>33</v>
      </c>
      <c r="C2187" s="655" t="s">
        <v>2793</v>
      </c>
      <c r="D2187" s="656" t="s">
        <v>3438</v>
      </c>
      <c r="E2187" s="656" t="s">
        <v>3150</v>
      </c>
      <c r="F2187" s="655">
        <v>63244</v>
      </c>
      <c r="G2187" s="656" t="s">
        <v>57</v>
      </c>
      <c r="H2187" s="656" t="s">
        <v>1182</v>
      </c>
      <c r="I2187" s="656" t="s">
        <v>58</v>
      </c>
      <c r="J2187" s="655">
        <v>22</v>
      </c>
      <c r="K2187" s="655">
        <v>2</v>
      </c>
      <c r="L2187" s="656" t="s">
        <v>52</v>
      </c>
      <c r="M2187" s="656" t="s">
        <v>448</v>
      </c>
      <c r="N2187" s="656" t="s">
        <v>449</v>
      </c>
      <c r="O2187" s="656" t="s">
        <v>449</v>
      </c>
      <c r="P2187" s="656" t="s">
        <v>1176</v>
      </c>
      <c r="Q2187" s="657">
        <v>0</v>
      </c>
      <c r="R2187" s="657">
        <v>0</v>
      </c>
      <c r="S2187" s="657">
        <v>2883</v>
      </c>
      <c r="T2187" s="657">
        <v>2883</v>
      </c>
      <c r="U2187" s="657">
        <v>326</v>
      </c>
      <c r="V2187" s="655">
        <v>2021</v>
      </c>
      <c r="W2187" s="659"/>
      <c r="X2187" s="660">
        <f t="shared" si="104"/>
        <v>8.8435582822085887</v>
      </c>
      <c r="Y2187" s="661" t="str">
        <f t="shared" si="102"/>
        <v/>
      </c>
      <c r="Z2187" s="661" t="str">
        <f t="shared" si="103"/>
        <v/>
      </c>
    </row>
    <row r="2188" spans="1:26" s="128" customFormat="1" ht="25">
      <c r="A2188" s="655">
        <v>64128</v>
      </c>
      <c r="B2188" s="656" t="s">
        <v>33</v>
      </c>
      <c r="C2188" s="655" t="s">
        <v>2793</v>
      </c>
      <c r="D2188" s="656" t="s">
        <v>3439</v>
      </c>
      <c r="E2188" s="656" t="s">
        <v>3440</v>
      </c>
      <c r="F2188" s="655">
        <v>64059</v>
      </c>
      <c r="G2188" s="656" t="s">
        <v>81</v>
      </c>
      <c r="H2188" s="656" t="s">
        <v>1183</v>
      </c>
      <c r="I2188" s="656" t="s">
        <v>58</v>
      </c>
      <c r="J2188" s="655">
        <v>22</v>
      </c>
      <c r="K2188" s="655">
        <v>2</v>
      </c>
      <c r="L2188" s="656" t="s">
        <v>52</v>
      </c>
      <c r="M2188" s="656" t="s">
        <v>1890</v>
      </c>
      <c r="N2188" s="656" t="s">
        <v>1052</v>
      </c>
      <c r="O2188" s="656" t="s">
        <v>82</v>
      </c>
      <c r="P2188" s="656" t="s">
        <v>2794</v>
      </c>
      <c r="Q2188" s="657">
        <v>0</v>
      </c>
      <c r="R2188" s="657">
        <v>0</v>
      </c>
      <c r="S2188" s="657">
        <v>0</v>
      </c>
      <c r="T2188" s="657">
        <v>0</v>
      </c>
      <c r="U2188" s="657">
        <v>0</v>
      </c>
      <c r="V2188" s="655">
        <v>2021</v>
      </c>
      <c r="W2188" s="659"/>
      <c r="X2188" s="660" t="str">
        <f t="shared" si="104"/>
        <v/>
      </c>
      <c r="Y2188" s="661" t="str">
        <f t="shared" si="102"/>
        <v/>
      </c>
      <c r="Z2188" s="661" t="str">
        <f t="shared" si="103"/>
        <v/>
      </c>
    </row>
    <row r="2189" spans="1:26" s="128" customFormat="1" ht="25">
      <c r="A2189" s="655">
        <v>64128</v>
      </c>
      <c r="B2189" s="656" t="s">
        <v>33</v>
      </c>
      <c r="C2189" s="655" t="s">
        <v>2793</v>
      </c>
      <c r="D2189" s="656" t="s">
        <v>3439</v>
      </c>
      <c r="E2189" s="656" t="s">
        <v>3440</v>
      </c>
      <c r="F2189" s="655">
        <v>64059</v>
      </c>
      <c r="G2189" s="656" t="s">
        <v>81</v>
      </c>
      <c r="H2189" s="656" t="s">
        <v>1183</v>
      </c>
      <c r="I2189" s="656" t="s">
        <v>58</v>
      </c>
      <c r="J2189" s="655">
        <v>22</v>
      </c>
      <c r="K2189" s="655">
        <v>2</v>
      </c>
      <c r="L2189" s="656" t="s">
        <v>52</v>
      </c>
      <c r="M2189" s="656" t="s">
        <v>448</v>
      </c>
      <c r="N2189" s="656" t="s">
        <v>449</v>
      </c>
      <c r="O2189" s="656" t="s">
        <v>449</v>
      </c>
      <c r="P2189" s="656" t="s">
        <v>1176</v>
      </c>
      <c r="Q2189" s="657">
        <v>0</v>
      </c>
      <c r="R2189" s="657">
        <v>0</v>
      </c>
      <c r="S2189" s="657">
        <v>9374</v>
      </c>
      <c r="T2189" s="657">
        <v>9374</v>
      </c>
      <c r="U2189" s="657">
        <v>1060</v>
      </c>
      <c r="V2189" s="655">
        <v>2021</v>
      </c>
      <c r="W2189" s="659"/>
      <c r="X2189" s="660">
        <f t="shared" si="104"/>
        <v>8.8433962264150949</v>
      </c>
      <c r="Y2189" s="661" t="str">
        <f t="shared" si="102"/>
        <v/>
      </c>
      <c r="Z2189" s="661" t="str">
        <f t="shared" si="103"/>
        <v/>
      </c>
    </row>
    <row r="2190" spans="1:26" s="128" customFormat="1" ht="25">
      <c r="A2190" s="655">
        <v>64129</v>
      </c>
      <c r="B2190" s="656" t="s">
        <v>33</v>
      </c>
      <c r="C2190" s="655" t="s">
        <v>2793</v>
      </c>
      <c r="D2190" s="656" t="s">
        <v>3441</v>
      </c>
      <c r="E2190" s="656" t="s">
        <v>3442</v>
      </c>
      <c r="F2190" s="655">
        <v>64058</v>
      </c>
      <c r="G2190" s="656" t="s">
        <v>81</v>
      </c>
      <c r="H2190" s="656" t="s">
        <v>1183</v>
      </c>
      <c r="I2190" s="656" t="s">
        <v>58</v>
      </c>
      <c r="J2190" s="655">
        <v>22</v>
      </c>
      <c r="K2190" s="655">
        <v>2</v>
      </c>
      <c r="L2190" s="656" t="s">
        <v>52</v>
      </c>
      <c r="M2190" s="656" t="s">
        <v>1890</v>
      </c>
      <c r="N2190" s="656" t="s">
        <v>1052</v>
      </c>
      <c r="O2190" s="656" t="s">
        <v>82</v>
      </c>
      <c r="P2190" s="656" t="s">
        <v>2794</v>
      </c>
      <c r="Q2190" s="657">
        <v>0</v>
      </c>
      <c r="R2190" s="657">
        <v>0</v>
      </c>
      <c r="S2190" s="657">
        <v>0</v>
      </c>
      <c r="T2190" s="657">
        <v>0</v>
      </c>
      <c r="U2190" s="657">
        <v>0</v>
      </c>
      <c r="V2190" s="655">
        <v>2021</v>
      </c>
      <c r="W2190" s="659"/>
      <c r="X2190" s="660" t="str">
        <f t="shared" si="104"/>
        <v/>
      </c>
      <c r="Y2190" s="661" t="str">
        <f t="shared" si="102"/>
        <v/>
      </c>
      <c r="Z2190" s="661" t="str">
        <f t="shared" si="103"/>
        <v/>
      </c>
    </row>
    <row r="2191" spans="1:26" s="128" customFormat="1" ht="25">
      <c r="A2191" s="655">
        <v>64129</v>
      </c>
      <c r="B2191" s="656" t="s">
        <v>33</v>
      </c>
      <c r="C2191" s="655" t="s">
        <v>2793</v>
      </c>
      <c r="D2191" s="656" t="s">
        <v>3441</v>
      </c>
      <c r="E2191" s="656" t="s">
        <v>3442</v>
      </c>
      <c r="F2191" s="655">
        <v>64058</v>
      </c>
      <c r="G2191" s="656" t="s">
        <v>81</v>
      </c>
      <c r="H2191" s="656" t="s">
        <v>1183</v>
      </c>
      <c r="I2191" s="656" t="s">
        <v>58</v>
      </c>
      <c r="J2191" s="655">
        <v>22</v>
      </c>
      <c r="K2191" s="655">
        <v>2</v>
      </c>
      <c r="L2191" s="656" t="s">
        <v>52</v>
      </c>
      <c r="M2191" s="656" t="s">
        <v>448</v>
      </c>
      <c r="N2191" s="656" t="s">
        <v>449</v>
      </c>
      <c r="O2191" s="656" t="s">
        <v>449</v>
      </c>
      <c r="P2191" s="656" t="s">
        <v>1176</v>
      </c>
      <c r="Q2191" s="657">
        <v>0</v>
      </c>
      <c r="R2191" s="657">
        <v>0</v>
      </c>
      <c r="S2191" s="657">
        <v>17996</v>
      </c>
      <c r="T2191" s="657">
        <v>17996</v>
      </c>
      <c r="U2191" s="657">
        <v>2035</v>
      </c>
      <c r="V2191" s="655">
        <v>2021</v>
      </c>
      <c r="W2191" s="659"/>
      <c r="X2191" s="660">
        <f t="shared" si="104"/>
        <v>8.8432432432432435</v>
      </c>
      <c r="Y2191" s="661" t="str">
        <f t="shared" si="102"/>
        <v/>
      </c>
      <c r="Z2191" s="661" t="str">
        <f t="shared" si="103"/>
        <v/>
      </c>
    </row>
    <row r="2192" spans="1:26" s="128" customFormat="1" ht="25">
      <c r="A2192" s="655">
        <v>64137</v>
      </c>
      <c r="B2192" s="656" t="s">
        <v>33</v>
      </c>
      <c r="C2192" s="655" t="s">
        <v>2793</v>
      </c>
      <c r="D2192" s="656" t="s">
        <v>3292</v>
      </c>
      <c r="E2192" s="656" t="s">
        <v>3372</v>
      </c>
      <c r="F2192" s="655">
        <v>61944</v>
      </c>
      <c r="G2192" s="656" t="s">
        <v>81</v>
      </c>
      <c r="H2192" s="656" t="s">
        <v>1183</v>
      </c>
      <c r="I2192" s="656" t="s">
        <v>58</v>
      </c>
      <c r="J2192" s="655">
        <v>22</v>
      </c>
      <c r="K2192" s="655">
        <v>2</v>
      </c>
      <c r="L2192" s="656" t="s">
        <v>52</v>
      </c>
      <c r="M2192" s="656" t="s">
        <v>448</v>
      </c>
      <c r="N2192" s="656" t="s">
        <v>449</v>
      </c>
      <c r="O2192" s="656" t="s">
        <v>449</v>
      </c>
      <c r="P2192" s="656" t="s">
        <v>1176</v>
      </c>
      <c r="Q2192" s="657">
        <v>0</v>
      </c>
      <c r="R2192" s="657">
        <v>0</v>
      </c>
      <c r="S2192" s="657">
        <v>19163</v>
      </c>
      <c r="T2192" s="657">
        <v>19163</v>
      </c>
      <c r="U2192" s="657">
        <v>2167</v>
      </c>
      <c r="V2192" s="655">
        <v>2021</v>
      </c>
      <c r="W2192" s="659"/>
      <c r="X2192" s="660">
        <f t="shared" si="104"/>
        <v>8.8431010613751724</v>
      </c>
      <c r="Y2192" s="661" t="str">
        <f t="shared" si="102"/>
        <v/>
      </c>
      <c r="Z2192" s="661" t="str">
        <f t="shared" si="103"/>
        <v/>
      </c>
    </row>
    <row r="2193" spans="1:26" s="128" customFormat="1" ht="25">
      <c r="A2193" s="655">
        <v>64140</v>
      </c>
      <c r="B2193" s="656" t="s">
        <v>33</v>
      </c>
      <c r="C2193" s="655" t="s">
        <v>2793</v>
      </c>
      <c r="D2193" s="656" t="s">
        <v>3443</v>
      </c>
      <c r="E2193" s="656" t="s">
        <v>2210</v>
      </c>
      <c r="F2193" s="655">
        <v>61012</v>
      </c>
      <c r="G2193" s="656" t="s">
        <v>81</v>
      </c>
      <c r="H2193" s="656" t="s">
        <v>1183</v>
      </c>
      <c r="I2193" s="656" t="s">
        <v>58</v>
      </c>
      <c r="J2193" s="655">
        <v>22</v>
      </c>
      <c r="K2193" s="655">
        <v>2</v>
      </c>
      <c r="L2193" s="656" t="s">
        <v>52</v>
      </c>
      <c r="M2193" s="656" t="s">
        <v>1890</v>
      </c>
      <c r="N2193" s="656" t="s">
        <v>1052</v>
      </c>
      <c r="O2193" s="656" t="s">
        <v>82</v>
      </c>
      <c r="P2193" s="656" t="s">
        <v>2794</v>
      </c>
      <c r="Q2193" s="657">
        <v>168</v>
      </c>
      <c r="R2193" s="657">
        <v>168</v>
      </c>
      <c r="S2193" s="657">
        <v>0</v>
      </c>
      <c r="T2193" s="657">
        <v>0</v>
      </c>
      <c r="U2193" s="657">
        <v>-44</v>
      </c>
      <c r="V2193" s="655">
        <v>2021</v>
      </c>
      <c r="W2193" s="659"/>
      <c r="X2193" s="660" t="str">
        <f t="shared" si="104"/>
        <v/>
      </c>
      <c r="Y2193" s="661" t="str">
        <f t="shared" si="102"/>
        <v/>
      </c>
      <c r="Z2193" s="661" t="str">
        <f t="shared" si="103"/>
        <v/>
      </c>
    </row>
    <row r="2194" spans="1:26" s="128" customFormat="1" ht="25">
      <c r="A2194" s="655">
        <v>64140</v>
      </c>
      <c r="B2194" s="656" t="s">
        <v>33</v>
      </c>
      <c r="C2194" s="655" t="s">
        <v>2793</v>
      </c>
      <c r="D2194" s="656" t="s">
        <v>3443</v>
      </c>
      <c r="E2194" s="656" t="s">
        <v>2210</v>
      </c>
      <c r="F2194" s="655">
        <v>61012</v>
      </c>
      <c r="G2194" s="656" t="s">
        <v>81</v>
      </c>
      <c r="H2194" s="656" t="s">
        <v>1183</v>
      </c>
      <c r="I2194" s="656" t="s">
        <v>58</v>
      </c>
      <c r="J2194" s="655">
        <v>22</v>
      </c>
      <c r="K2194" s="655">
        <v>2</v>
      </c>
      <c r="L2194" s="656" t="s">
        <v>52</v>
      </c>
      <c r="M2194" s="656" t="s">
        <v>448</v>
      </c>
      <c r="N2194" s="656" t="s">
        <v>449</v>
      </c>
      <c r="O2194" s="656" t="s">
        <v>449</v>
      </c>
      <c r="P2194" s="656" t="s">
        <v>1176</v>
      </c>
      <c r="Q2194" s="657">
        <v>0</v>
      </c>
      <c r="R2194" s="657">
        <v>0</v>
      </c>
      <c r="S2194" s="657">
        <v>3343</v>
      </c>
      <c r="T2194" s="657">
        <v>3343</v>
      </c>
      <c r="U2194" s="657">
        <v>378</v>
      </c>
      <c r="V2194" s="655">
        <v>2021</v>
      </c>
      <c r="W2194" s="659"/>
      <c r="X2194" s="660">
        <f t="shared" si="104"/>
        <v>8.8439153439153433</v>
      </c>
      <c r="Y2194" s="661" t="str">
        <f t="shared" si="102"/>
        <v/>
      </c>
      <c r="Z2194" s="661" t="str">
        <f t="shared" si="103"/>
        <v/>
      </c>
    </row>
    <row r="2195" spans="1:26" s="128" customFormat="1" hidden="1">
      <c r="A2195" s="655">
        <v>64143</v>
      </c>
      <c r="B2195" s="656" t="s">
        <v>33</v>
      </c>
      <c r="C2195" s="655" t="s">
        <v>2793</v>
      </c>
      <c r="D2195" s="656" t="s">
        <v>3293</v>
      </c>
      <c r="E2195" s="656" t="s">
        <v>3139</v>
      </c>
      <c r="F2195" s="655">
        <v>60571</v>
      </c>
      <c r="G2195" s="656" t="s">
        <v>57</v>
      </c>
      <c r="H2195" s="656" t="s">
        <v>1182</v>
      </c>
      <c r="I2195" s="656" t="s">
        <v>58</v>
      </c>
      <c r="J2195" s="655">
        <v>22</v>
      </c>
      <c r="K2195" s="655">
        <v>2</v>
      </c>
      <c r="L2195" s="656" t="s">
        <v>52</v>
      </c>
      <c r="M2195" s="656" t="s">
        <v>1255</v>
      </c>
      <c r="N2195" s="656" t="s">
        <v>39</v>
      </c>
      <c r="O2195" s="656" t="s">
        <v>39</v>
      </c>
      <c r="P2195" s="656" t="s">
        <v>1037</v>
      </c>
      <c r="Q2195" s="657">
        <v>112941</v>
      </c>
      <c r="R2195" s="657">
        <v>112941</v>
      </c>
      <c r="S2195" s="657">
        <v>116556</v>
      </c>
      <c r="T2195" s="657">
        <v>116556</v>
      </c>
      <c r="U2195" s="657">
        <v>17567</v>
      </c>
      <c r="V2195" s="655">
        <v>2021</v>
      </c>
      <c r="W2195" s="659"/>
      <c r="X2195" s="660">
        <f t="shared" si="104"/>
        <v>6.6349405134627428</v>
      </c>
      <c r="Y2195" s="661" t="str">
        <f t="shared" si="102"/>
        <v/>
      </c>
      <c r="Z2195" s="661" t="str">
        <f t="shared" si="103"/>
        <v/>
      </c>
    </row>
    <row r="2196" spans="1:26" s="128" customFormat="1" ht="25">
      <c r="A2196" s="655">
        <v>64147</v>
      </c>
      <c r="B2196" s="656" t="s">
        <v>33</v>
      </c>
      <c r="C2196" s="655" t="s">
        <v>2793</v>
      </c>
      <c r="D2196" s="656" t="s">
        <v>3444</v>
      </c>
      <c r="E2196" s="656" t="s">
        <v>2210</v>
      </c>
      <c r="F2196" s="655">
        <v>61012</v>
      </c>
      <c r="G2196" s="656" t="s">
        <v>81</v>
      </c>
      <c r="H2196" s="656" t="s">
        <v>1183</v>
      </c>
      <c r="I2196" s="656" t="s">
        <v>58</v>
      </c>
      <c r="J2196" s="655">
        <v>22</v>
      </c>
      <c r="K2196" s="655">
        <v>2</v>
      </c>
      <c r="L2196" s="656" t="s">
        <v>52</v>
      </c>
      <c r="M2196" s="656" t="s">
        <v>1890</v>
      </c>
      <c r="N2196" s="656" t="s">
        <v>1052</v>
      </c>
      <c r="O2196" s="656" t="s">
        <v>82</v>
      </c>
      <c r="P2196" s="656" t="s">
        <v>2794</v>
      </c>
      <c r="Q2196" s="657">
        <v>53</v>
      </c>
      <c r="R2196" s="657">
        <v>53</v>
      </c>
      <c r="S2196" s="657">
        <v>0</v>
      </c>
      <c r="T2196" s="657">
        <v>0</v>
      </c>
      <c r="U2196" s="657">
        <v>-2</v>
      </c>
      <c r="V2196" s="655">
        <v>2021</v>
      </c>
      <c r="W2196" s="659"/>
      <c r="X2196" s="660" t="str">
        <f t="shared" si="104"/>
        <v/>
      </c>
      <c r="Y2196" s="661" t="str">
        <f t="shared" si="102"/>
        <v/>
      </c>
      <c r="Z2196" s="661" t="str">
        <f t="shared" si="103"/>
        <v/>
      </c>
    </row>
    <row r="2197" spans="1:26" s="128" customFormat="1" ht="25">
      <c r="A2197" s="655">
        <v>64147</v>
      </c>
      <c r="B2197" s="656" t="s">
        <v>33</v>
      </c>
      <c r="C2197" s="655" t="s">
        <v>2793</v>
      </c>
      <c r="D2197" s="656" t="s">
        <v>3444</v>
      </c>
      <c r="E2197" s="656" t="s">
        <v>2210</v>
      </c>
      <c r="F2197" s="655">
        <v>61012</v>
      </c>
      <c r="G2197" s="656" t="s">
        <v>81</v>
      </c>
      <c r="H2197" s="656" t="s">
        <v>1183</v>
      </c>
      <c r="I2197" s="656" t="s">
        <v>58</v>
      </c>
      <c r="J2197" s="655">
        <v>22</v>
      </c>
      <c r="K2197" s="655">
        <v>2</v>
      </c>
      <c r="L2197" s="656" t="s">
        <v>52</v>
      </c>
      <c r="M2197" s="656" t="s">
        <v>448</v>
      </c>
      <c r="N2197" s="656" t="s">
        <v>449</v>
      </c>
      <c r="O2197" s="656" t="s">
        <v>449</v>
      </c>
      <c r="P2197" s="656" t="s">
        <v>1176</v>
      </c>
      <c r="Q2197" s="657">
        <v>0</v>
      </c>
      <c r="R2197" s="657">
        <v>0</v>
      </c>
      <c r="S2197" s="657">
        <v>31721</v>
      </c>
      <c r="T2197" s="657">
        <v>31721</v>
      </c>
      <c r="U2197" s="657">
        <v>3587</v>
      </c>
      <c r="V2197" s="655">
        <v>2021</v>
      </c>
      <c r="W2197" s="659"/>
      <c r="X2197" s="660">
        <f t="shared" si="104"/>
        <v>8.8433231112350157</v>
      </c>
      <c r="Y2197" s="661" t="str">
        <f t="shared" si="102"/>
        <v/>
      </c>
      <c r="Z2197" s="661" t="str">
        <f t="shared" si="103"/>
        <v/>
      </c>
    </row>
    <row r="2198" spans="1:26" s="128" customFormat="1" ht="25">
      <c r="A2198" s="655">
        <v>64162</v>
      </c>
      <c r="B2198" s="656" t="s">
        <v>33</v>
      </c>
      <c r="C2198" s="655" t="s">
        <v>2793</v>
      </c>
      <c r="D2198" s="656" t="s">
        <v>3294</v>
      </c>
      <c r="E2198" s="656" t="s">
        <v>3295</v>
      </c>
      <c r="F2198" s="655">
        <v>63706</v>
      </c>
      <c r="G2198" s="656" t="s">
        <v>81</v>
      </c>
      <c r="H2198" s="656" t="s">
        <v>1183</v>
      </c>
      <c r="I2198" s="656" t="s">
        <v>58</v>
      </c>
      <c r="J2198" s="655">
        <v>22</v>
      </c>
      <c r="K2198" s="655">
        <v>2</v>
      </c>
      <c r="L2198" s="656" t="s">
        <v>52</v>
      </c>
      <c r="M2198" s="656" t="s">
        <v>448</v>
      </c>
      <c r="N2198" s="656" t="s">
        <v>449</v>
      </c>
      <c r="O2198" s="656" t="s">
        <v>449</v>
      </c>
      <c r="P2198" s="656" t="s">
        <v>1176</v>
      </c>
      <c r="Q2198" s="657">
        <v>0</v>
      </c>
      <c r="R2198" s="657">
        <v>0</v>
      </c>
      <c r="S2198" s="657">
        <v>23055</v>
      </c>
      <c r="T2198" s="657">
        <v>23055</v>
      </c>
      <c r="U2198" s="657">
        <v>2607</v>
      </c>
      <c r="V2198" s="655">
        <v>2021</v>
      </c>
      <c r="W2198" s="659"/>
      <c r="X2198" s="660">
        <f t="shared" si="104"/>
        <v>8.843498273878021</v>
      </c>
      <c r="Y2198" s="661" t="str">
        <f t="shared" si="102"/>
        <v/>
      </c>
      <c r="Z2198" s="661" t="str">
        <f t="shared" si="103"/>
        <v/>
      </c>
    </row>
    <row r="2199" spans="1:26" s="128" customFormat="1" ht="25">
      <c r="A2199" s="655">
        <v>64170</v>
      </c>
      <c r="B2199" s="656" t="s">
        <v>33</v>
      </c>
      <c r="C2199" s="655" t="s">
        <v>2793</v>
      </c>
      <c r="D2199" s="656" t="s">
        <v>3445</v>
      </c>
      <c r="E2199" s="656" t="s">
        <v>2210</v>
      </c>
      <c r="F2199" s="655">
        <v>61012</v>
      </c>
      <c r="G2199" s="656" t="s">
        <v>81</v>
      </c>
      <c r="H2199" s="656" t="s">
        <v>1183</v>
      </c>
      <c r="I2199" s="656" t="s">
        <v>58</v>
      </c>
      <c r="J2199" s="655">
        <v>22</v>
      </c>
      <c r="K2199" s="655">
        <v>2</v>
      </c>
      <c r="L2199" s="656" t="s">
        <v>52</v>
      </c>
      <c r="M2199" s="656" t="s">
        <v>1890</v>
      </c>
      <c r="N2199" s="656" t="s">
        <v>1052</v>
      </c>
      <c r="O2199" s="656" t="s">
        <v>82</v>
      </c>
      <c r="P2199" s="656" t="s">
        <v>2794</v>
      </c>
      <c r="Q2199" s="657">
        <v>26</v>
      </c>
      <c r="R2199" s="657">
        <v>26</v>
      </c>
      <c r="S2199" s="657">
        <v>0</v>
      </c>
      <c r="T2199" s="657">
        <v>0</v>
      </c>
      <c r="U2199" s="657">
        <v>-6</v>
      </c>
      <c r="V2199" s="655">
        <v>2021</v>
      </c>
      <c r="W2199" s="659"/>
      <c r="X2199" s="660" t="str">
        <f t="shared" si="104"/>
        <v/>
      </c>
      <c r="Y2199" s="661" t="str">
        <f t="shared" si="102"/>
        <v/>
      </c>
      <c r="Z2199" s="661" t="str">
        <f t="shared" si="103"/>
        <v/>
      </c>
    </row>
    <row r="2200" spans="1:26" s="128" customFormat="1" ht="25">
      <c r="A2200" s="655">
        <v>64170</v>
      </c>
      <c r="B2200" s="656" t="s">
        <v>33</v>
      </c>
      <c r="C2200" s="655" t="s">
        <v>2793</v>
      </c>
      <c r="D2200" s="656" t="s">
        <v>3445</v>
      </c>
      <c r="E2200" s="656" t="s">
        <v>2210</v>
      </c>
      <c r="F2200" s="655">
        <v>61012</v>
      </c>
      <c r="G2200" s="656" t="s">
        <v>81</v>
      </c>
      <c r="H2200" s="656" t="s">
        <v>1183</v>
      </c>
      <c r="I2200" s="656" t="s">
        <v>58</v>
      </c>
      <c r="J2200" s="655">
        <v>22</v>
      </c>
      <c r="K2200" s="655">
        <v>2</v>
      </c>
      <c r="L2200" s="656" t="s">
        <v>52</v>
      </c>
      <c r="M2200" s="656" t="s">
        <v>448</v>
      </c>
      <c r="N2200" s="656" t="s">
        <v>449</v>
      </c>
      <c r="O2200" s="656" t="s">
        <v>449</v>
      </c>
      <c r="P2200" s="656" t="s">
        <v>1176</v>
      </c>
      <c r="Q2200" s="657">
        <v>0</v>
      </c>
      <c r="R2200" s="657">
        <v>0</v>
      </c>
      <c r="S2200" s="657">
        <v>504</v>
      </c>
      <c r="T2200" s="657">
        <v>504</v>
      </c>
      <c r="U2200" s="657">
        <v>57</v>
      </c>
      <c r="V2200" s="655">
        <v>2021</v>
      </c>
      <c r="W2200" s="659"/>
      <c r="X2200" s="660">
        <f t="shared" si="104"/>
        <v>8.8421052631578956</v>
      </c>
      <c r="Y2200" s="661" t="str">
        <f t="shared" si="102"/>
        <v/>
      </c>
      <c r="Z2200" s="661" t="str">
        <f t="shared" si="103"/>
        <v/>
      </c>
    </row>
    <row r="2201" spans="1:26" s="128" customFormat="1" ht="25">
      <c r="A2201" s="655">
        <v>64182</v>
      </c>
      <c r="B2201" s="656" t="s">
        <v>33</v>
      </c>
      <c r="C2201" s="655" t="s">
        <v>2793</v>
      </c>
      <c r="D2201" s="656" t="s">
        <v>3446</v>
      </c>
      <c r="E2201" s="656" t="s">
        <v>2210</v>
      </c>
      <c r="F2201" s="655">
        <v>61012</v>
      </c>
      <c r="G2201" s="656" t="s">
        <v>81</v>
      </c>
      <c r="H2201" s="656" t="s">
        <v>1183</v>
      </c>
      <c r="I2201" s="656" t="s">
        <v>58</v>
      </c>
      <c r="J2201" s="655">
        <v>22</v>
      </c>
      <c r="K2201" s="655">
        <v>2</v>
      </c>
      <c r="L2201" s="656" t="s">
        <v>52</v>
      </c>
      <c r="M2201" s="656" t="s">
        <v>1890</v>
      </c>
      <c r="N2201" s="656" t="s">
        <v>1052</v>
      </c>
      <c r="O2201" s="656" t="s">
        <v>82</v>
      </c>
      <c r="P2201" s="656" t="s">
        <v>2794</v>
      </c>
      <c r="Q2201" s="657">
        <v>136</v>
      </c>
      <c r="R2201" s="657">
        <v>136</v>
      </c>
      <c r="S2201" s="657">
        <v>0</v>
      </c>
      <c r="T2201" s="657">
        <v>0</v>
      </c>
      <c r="U2201" s="657">
        <v>-9</v>
      </c>
      <c r="V2201" s="655">
        <v>2021</v>
      </c>
      <c r="W2201" s="659"/>
      <c r="X2201" s="660" t="str">
        <f t="shared" si="104"/>
        <v/>
      </c>
      <c r="Y2201" s="661" t="str">
        <f t="shared" si="102"/>
        <v/>
      </c>
      <c r="Z2201" s="661" t="str">
        <f t="shared" si="103"/>
        <v/>
      </c>
    </row>
    <row r="2202" spans="1:26" s="128" customFormat="1" ht="25">
      <c r="A2202" s="655">
        <v>64182</v>
      </c>
      <c r="B2202" s="656" t="s">
        <v>33</v>
      </c>
      <c r="C2202" s="655" t="s">
        <v>2793</v>
      </c>
      <c r="D2202" s="656" t="s">
        <v>3446</v>
      </c>
      <c r="E2202" s="656" t="s">
        <v>2210</v>
      </c>
      <c r="F2202" s="655">
        <v>61012</v>
      </c>
      <c r="G2202" s="656" t="s">
        <v>81</v>
      </c>
      <c r="H2202" s="656" t="s">
        <v>1183</v>
      </c>
      <c r="I2202" s="656" t="s">
        <v>58</v>
      </c>
      <c r="J2202" s="655">
        <v>22</v>
      </c>
      <c r="K2202" s="655">
        <v>2</v>
      </c>
      <c r="L2202" s="656" t="s">
        <v>52</v>
      </c>
      <c r="M2202" s="656" t="s">
        <v>448</v>
      </c>
      <c r="N2202" s="656" t="s">
        <v>449</v>
      </c>
      <c r="O2202" s="656" t="s">
        <v>449</v>
      </c>
      <c r="P2202" s="656" t="s">
        <v>1176</v>
      </c>
      <c r="Q2202" s="657">
        <v>0</v>
      </c>
      <c r="R2202" s="657">
        <v>0</v>
      </c>
      <c r="S2202" s="657">
        <v>6739</v>
      </c>
      <c r="T2202" s="657">
        <v>6739</v>
      </c>
      <c r="U2202" s="657">
        <v>762</v>
      </c>
      <c r="V2202" s="655">
        <v>2021</v>
      </c>
      <c r="W2202" s="659"/>
      <c r="X2202" s="660">
        <f t="shared" si="104"/>
        <v>8.8438320209973753</v>
      </c>
      <c r="Y2202" s="661" t="str">
        <f t="shared" si="102"/>
        <v/>
      </c>
      <c r="Z2202" s="661" t="str">
        <f t="shared" si="103"/>
        <v/>
      </c>
    </row>
    <row r="2203" spans="1:26" s="128" customFormat="1" ht="25">
      <c r="A2203" s="655">
        <v>64184</v>
      </c>
      <c r="B2203" s="656" t="s">
        <v>33</v>
      </c>
      <c r="C2203" s="655" t="s">
        <v>2793</v>
      </c>
      <c r="D2203" s="656" t="s">
        <v>3447</v>
      </c>
      <c r="E2203" s="656" t="s">
        <v>2210</v>
      </c>
      <c r="F2203" s="655">
        <v>61012</v>
      </c>
      <c r="G2203" s="656" t="s">
        <v>81</v>
      </c>
      <c r="H2203" s="656" t="s">
        <v>1183</v>
      </c>
      <c r="I2203" s="656" t="s">
        <v>58</v>
      </c>
      <c r="J2203" s="655">
        <v>22</v>
      </c>
      <c r="K2203" s="655">
        <v>2</v>
      </c>
      <c r="L2203" s="656" t="s">
        <v>52</v>
      </c>
      <c r="M2203" s="656" t="s">
        <v>448</v>
      </c>
      <c r="N2203" s="656" t="s">
        <v>449</v>
      </c>
      <c r="O2203" s="656" t="s">
        <v>449</v>
      </c>
      <c r="P2203" s="656" t="s">
        <v>1176</v>
      </c>
      <c r="Q2203" s="657">
        <v>0</v>
      </c>
      <c r="R2203" s="657">
        <v>0</v>
      </c>
      <c r="S2203" s="657">
        <v>443</v>
      </c>
      <c r="T2203" s="657">
        <v>443</v>
      </c>
      <c r="U2203" s="657">
        <v>50</v>
      </c>
      <c r="V2203" s="655">
        <v>2021</v>
      </c>
      <c r="W2203" s="659"/>
      <c r="X2203" s="660">
        <f t="shared" si="104"/>
        <v>8.86</v>
      </c>
      <c r="Y2203" s="661" t="str">
        <f t="shared" si="102"/>
        <v/>
      </c>
      <c r="Z2203" s="661" t="str">
        <f t="shared" si="103"/>
        <v/>
      </c>
    </row>
    <row r="2204" spans="1:26" s="128" customFormat="1" ht="25">
      <c r="A2204" s="655">
        <v>64185</v>
      </c>
      <c r="B2204" s="656" t="s">
        <v>33</v>
      </c>
      <c r="C2204" s="655" t="s">
        <v>2793</v>
      </c>
      <c r="D2204" s="656" t="s">
        <v>3448</v>
      </c>
      <c r="E2204" s="656" t="s">
        <v>2210</v>
      </c>
      <c r="F2204" s="655">
        <v>61012</v>
      </c>
      <c r="G2204" s="656" t="s">
        <v>81</v>
      </c>
      <c r="H2204" s="656" t="s">
        <v>1183</v>
      </c>
      <c r="I2204" s="656" t="s">
        <v>58</v>
      </c>
      <c r="J2204" s="655">
        <v>22</v>
      </c>
      <c r="K2204" s="655">
        <v>2</v>
      </c>
      <c r="L2204" s="656" t="s">
        <v>52</v>
      </c>
      <c r="M2204" s="656" t="s">
        <v>1890</v>
      </c>
      <c r="N2204" s="656" t="s">
        <v>1052</v>
      </c>
      <c r="O2204" s="656" t="s">
        <v>82</v>
      </c>
      <c r="P2204" s="656" t="s">
        <v>2794</v>
      </c>
      <c r="Q2204" s="657">
        <v>241</v>
      </c>
      <c r="R2204" s="657">
        <v>241</v>
      </c>
      <c r="S2204" s="657">
        <v>0</v>
      </c>
      <c r="T2204" s="657">
        <v>0</v>
      </c>
      <c r="U2204" s="657">
        <v>-30</v>
      </c>
      <c r="V2204" s="655">
        <v>2021</v>
      </c>
      <c r="W2204" s="659"/>
      <c r="X2204" s="660" t="str">
        <f t="shared" si="104"/>
        <v/>
      </c>
      <c r="Y2204" s="661" t="str">
        <f t="shared" si="102"/>
        <v/>
      </c>
      <c r="Z2204" s="661" t="str">
        <f t="shared" si="103"/>
        <v/>
      </c>
    </row>
    <row r="2205" spans="1:26" s="128" customFormat="1" ht="25">
      <c r="A2205" s="655">
        <v>64185</v>
      </c>
      <c r="B2205" s="656" t="s">
        <v>33</v>
      </c>
      <c r="C2205" s="655" t="s">
        <v>2793</v>
      </c>
      <c r="D2205" s="656" t="s">
        <v>3448</v>
      </c>
      <c r="E2205" s="656" t="s">
        <v>2210</v>
      </c>
      <c r="F2205" s="655">
        <v>61012</v>
      </c>
      <c r="G2205" s="656" t="s">
        <v>81</v>
      </c>
      <c r="H2205" s="656" t="s">
        <v>1183</v>
      </c>
      <c r="I2205" s="656" t="s">
        <v>58</v>
      </c>
      <c r="J2205" s="655">
        <v>22</v>
      </c>
      <c r="K2205" s="655">
        <v>2</v>
      </c>
      <c r="L2205" s="656" t="s">
        <v>52</v>
      </c>
      <c r="M2205" s="656" t="s">
        <v>448</v>
      </c>
      <c r="N2205" s="656" t="s">
        <v>449</v>
      </c>
      <c r="O2205" s="656" t="s">
        <v>449</v>
      </c>
      <c r="P2205" s="656" t="s">
        <v>1176</v>
      </c>
      <c r="Q2205" s="657">
        <v>0</v>
      </c>
      <c r="R2205" s="657">
        <v>0</v>
      </c>
      <c r="S2205" s="657">
        <v>26671</v>
      </c>
      <c r="T2205" s="657">
        <v>26671</v>
      </c>
      <c r="U2205" s="657">
        <v>3016</v>
      </c>
      <c r="V2205" s="655">
        <v>2021</v>
      </c>
      <c r="W2205" s="659"/>
      <c r="X2205" s="660">
        <f t="shared" si="104"/>
        <v>8.8431697612732094</v>
      </c>
      <c r="Y2205" s="661" t="str">
        <f t="shared" si="102"/>
        <v/>
      </c>
      <c r="Z2205" s="661" t="str">
        <f t="shared" si="103"/>
        <v/>
      </c>
    </row>
    <row r="2206" spans="1:26" s="128" customFormat="1" ht="25">
      <c r="A2206" s="655">
        <v>64187</v>
      </c>
      <c r="B2206" s="656" t="s">
        <v>33</v>
      </c>
      <c r="C2206" s="655" t="s">
        <v>2793</v>
      </c>
      <c r="D2206" s="656" t="s">
        <v>3449</v>
      </c>
      <c r="E2206" s="656" t="s">
        <v>2210</v>
      </c>
      <c r="F2206" s="655">
        <v>61012</v>
      </c>
      <c r="G2206" s="656" t="s">
        <v>81</v>
      </c>
      <c r="H2206" s="656" t="s">
        <v>1183</v>
      </c>
      <c r="I2206" s="656" t="s">
        <v>58</v>
      </c>
      <c r="J2206" s="655">
        <v>22</v>
      </c>
      <c r="K2206" s="655">
        <v>2</v>
      </c>
      <c r="L2206" s="656" t="s">
        <v>52</v>
      </c>
      <c r="M2206" s="656" t="s">
        <v>1890</v>
      </c>
      <c r="N2206" s="656" t="s">
        <v>1052</v>
      </c>
      <c r="O2206" s="656" t="s">
        <v>82</v>
      </c>
      <c r="P2206" s="656" t="s">
        <v>2794</v>
      </c>
      <c r="Q2206" s="657">
        <v>47</v>
      </c>
      <c r="R2206" s="657">
        <v>47</v>
      </c>
      <c r="S2206" s="657">
        <v>0</v>
      </c>
      <c r="T2206" s="657">
        <v>0</v>
      </c>
      <c r="U2206" s="657">
        <v>-5</v>
      </c>
      <c r="V2206" s="655">
        <v>2021</v>
      </c>
      <c r="W2206" s="659"/>
      <c r="X2206" s="660" t="str">
        <f t="shared" si="104"/>
        <v/>
      </c>
      <c r="Y2206" s="661" t="str">
        <f t="shared" si="102"/>
        <v/>
      </c>
      <c r="Z2206" s="661" t="str">
        <f t="shared" si="103"/>
        <v/>
      </c>
    </row>
    <row r="2207" spans="1:26" s="128" customFormat="1" ht="25">
      <c r="A2207" s="655">
        <v>64187</v>
      </c>
      <c r="B2207" s="656" t="s">
        <v>33</v>
      </c>
      <c r="C2207" s="655" t="s">
        <v>2793</v>
      </c>
      <c r="D2207" s="656" t="s">
        <v>3449</v>
      </c>
      <c r="E2207" s="656" t="s">
        <v>2210</v>
      </c>
      <c r="F2207" s="655">
        <v>61012</v>
      </c>
      <c r="G2207" s="656" t="s">
        <v>81</v>
      </c>
      <c r="H2207" s="656" t="s">
        <v>1183</v>
      </c>
      <c r="I2207" s="656" t="s">
        <v>58</v>
      </c>
      <c r="J2207" s="655">
        <v>22</v>
      </c>
      <c r="K2207" s="655">
        <v>2</v>
      </c>
      <c r="L2207" s="656" t="s">
        <v>52</v>
      </c>
      <c r="M2207" s="656" t="s">
        <v>448</v>
      </c>
      <c r="N2207" s="656" t="s">
        <v>449</v>
      </c>
      <c r="O2207" s="656" t="s">
        <v>449</v>
      </c>
      <c r="P2207" s="656" t="s">
        <v>1176</v>
      </c>
      <c r="Q2207" s="657">
        <v>0</v>
      </c>
      <c r="R2207" s="657">
        <v>0</v>
      </c>
      <c r="S2207" s="657">
        <v>14972</v>
      </c>
      <c r="T2207" s="657">
        <v>14972</v>
      </c>
      <c r="U2207" s="657">
        <v>1693</v>
      </c>
      <c r="V2207" s="655">
        <v>2021</v>
      </c>
      <c r="W2207" s="659"/>
      <c r="X2207" s="660">
        <f t="shared" si="104"/>
        <v>8.8434731246308331</v>
      </c>
      <c r="Y2207" s="661" t="str">
        <f t="shared" si="102"/>
        <v/>
      </c>
      <c r="Z2207" s="661" t="str">
        <f t="shared" si="103"/>
        <v/>
      </c>
    </row>
    <row r="2208" spans="1:26" s="128" customFormat="1" hidden="1">
      <c r="A2208" s="655">
        <v>64217</v>
      </c>
      <c r="B2208" s="656" t="s">
        <v>33</v>
      </c>
      <c r="C2208" s="655" t="s">
        <v>2793</v>
      </c>
      <c r="D2208" s="656" t="s">
        <v>3450</v>
      </c>
      <c r="E2208" s="656" t="s">
        <v>1965</v>
      </c>
      <c r="F2208" s="655">
        <v>58135</v>
      </c>
      <c r="G2208" s="656" t="s">
        <v>41</v>
      </c>
      <c r="H2208" s="656" t="s">
        <v>1183</v>
      </c>
      <c r="I2208" s="656" t="s">
        <v>58</v>
      </c>
      <c r="J2208" s="655">
        <v>22</v>
      </c>
      <c r="K2208" s="655">
        <v>2</v>
      </c>
      <c r="L2208" s="656" t="s">
        <v>52</v>
      </c>
      <c r="M2208" s="656" t="s">
        <v>448</v>
      </c>
      <c r="N2208" s="656" t="s">
        <v>449</v>
      </c>
      <c r="O2208" s="656" t="s">
        <v>449</v>
      </c>
      <c r="P2208" s="656" t="s">
        <v>1176</v>
      </c>
      <c r="Q2208" s="657">
        <v>0</v>
      </c>
      <c r="R2208" s="657">
        <v>0</v>
      </c>
      <c r="S2208" s="657">
        <v>12054</v>
      </c>
      <c r="T2208" s="657">
        <v>12054</v>
      </c>
      <c r="U2208" s="657">
        <v>1363</v>
      </c>
      <c r="V2208" s="655">
        <v>2021</v>
      </c>
      <c r="W2208" s="659"/>
      <c r="X2208" s="660">
        <f t="shared" si="104"/>
        <v>8.8437270726338966</v>
      </c>
      <c r="Y2208" s="661" t="str">
        <f t="shared" si="102"/>
        <v/>
      </c>
      <c r="Z2208" s="661" t="str">
        <f t="shared" si="103"/>
        <v/>
      </c>
    </row>
    <row r="2209" spans="1:26" s="128" customFormat="1" hidden="1">
      <c r="A2209" s="655">
        <v>64218</v>
      </c>
      <c r="B2209" s="656" t="s">
        <v>33</v>
      </c>
      <c r="C2209" s="655" t="s">
        <v>2793</v>
      </c>
      <c r="D2209" s="656" t="s">
        <v>3451</v>
      </c>
      <c r="E2209" s="656" t="s">
        <v>1965</v>
      </c>
      <c r="F2209" s="655">
        <v>58135</v>
      </c>
      <c r="G2209" s="656" t="s">
        <v>41</v>
      </c>
      <c r="H2209" s="656" t="s">
        <v>1183</v>
      </c>
      <c r="I2209" s="656" t="s">
        <v>58</v>
      </c>
      <c r="J2209" s="655">
        <v>22</v>
      </c>
      <c r="K2209" s="655">
        <v>2</v>
      </c>
      <c r="L2209" s="656" t="s">
        <v>52</v>
      </c>
      <c r="M2209" s="656" t="s">
        <v>448</v>
      </c>
      <c r="N2209" s="656" t="s">
        <v>449</v>
      </c>
      <c r="O2209" s="656" t="s">
        <v>449</v>
      </c>
      <c r="P2209" s="656" t="s">
        <v>1176</v>
      </c>
      <c r="Q2209" s="657">
        <v>0</v>
      </c>
      <c r="R2209" s="657">
        <v>0</v>
      </c>
      <c r="S2209" s="657">
        <v>11397</v>
      </c>
      <c r="T2209" s="657">
        <v>11397</v>
      </c>
      <c r="U2209" s="657">
        <v>1289</v>
      </c>
      <c r="V2209" s="655">
        <v>2021</v>
      </c>
      <c r="W2209" s="659"/>
      <c r="X2209" s="660">
        <f t="shared" si="104"/>
        <v>8.8417377812257563</v>
      </c>
      <c r="Y2209" s="661" t="str">
        <f t="shared" si="102"/>
        <v/>
      </c>
      <c r="Z2209" s="661" t="str">
        <f t="shared" si="103"/>
        <v/>
      </c>
    </row>
    <row r="2210" spans="1:26" s="128" customFormat="1" hidden="1">
      <c r="A2210" s="655">
        <v>64219</v>
      </c>
      <c r="B2210" s="656" t="s">
        <v>33</v>
      </c>
      <c r="C2210" s="655" t="s">
        <v>2793</v>
      </c>
      <c r="D2210" s="656" t="s">
        <v>3452</v>
      </c>
      <c r="E2210" s="656" t="s">
        <v>1965</v>
      </c>
      <c r="F2210" s="655">
        <v>58135</v>
      </c>
      <c r="G2210" s="656" t="s">
        <v>41</v>
      </c>
      <c r="H2210" s="656" t="s">
        <v>1183</v>
      </c>
      <c r="I2210" s="656" t="s">
        <v>58</v>
      </c>
      <c r="J2210" s="655">
        <v>22</v>
      </c>
      <c r="K2210" s="655">
        <v>2</v>
      </c>
      <c r="L2210" s="656" t="s">
        <v>52</v>
      </c>
      <c r="M2210" s="656" t="s">
        <v>448</v>
      </c>
      <c r="N2210" s="656" t="s">
        <v>449</v>
      </c>
      <c r="O2210" s="656" t="s">
        <v>449</v>
      </c>
      <c r="P2210" s="656" t="s">
        <v>1176</v>
      </c>
      <c r="Q2210" s="657">
        <v>0</v>
      </c>
      <c r="R2210" s="657">
        <v>0</v>
      </c>
      <c r="S2210" s="657">
        <v>12054</v>
      </c>
      <c r="T2210" s="657">
        <v>12054</v>
      </c>
      <c r="U2210" s="657">
        <v>1363</v>
      </c>
      <c r="V2210" s="655">
        <v>2021</v>
      </c>
      <c r="W2210" s="659"/>
      <c r="X2210" s="660">
        <f t="shared" si="104"/>
        <v>8.8437270726338966</v>
      </c>
      <c r="Y2210" s="661" t="str">
        <f t="shared" si="102"/>
        <v/>
      </c>
      <c r="Z2210" s="661" t="str">
        <f t="shared" si="103"/>
        <v/>
      </c>
    </row>
    <row r="2211" spans="1:26" s="128" customFormat="1">
      <c r="A2211" s="655">
        <v>64231</v>
      </c>
      <c r="B2211" s="656" t="s">
        <v>33</v>
      </c>
      <c r="C2211" s="655" t="s">
        <v>2793</v>
      </c>
      <c r="D2211" s="656" t="s">
        <v>3296</v>
      </c>
      <c r="E2211" s="656" t="s">
        <v>3297</v>
      </c>
      <c r="F2211" s="655">
        <v>63841</v>
      </c>
      <c r="G2211" s="656" t="s">
        <v>81</v>
      </c>
      <c r="H2211" s="656" t="s">
        <v>1183</v>
      </c>
      <c r="I2211" s="656" t="s">
        <v>58</v>
      </c>
      <c r="J2211" s="655">
        <v>22</v>
      </c>
      <c r="K2211" s="655">
        <v>2</v>
      </c>
      <c r="L2211" s="656" t="s">
        <v>52</v>
      </c>
      <c r="M2211" s="656" t="s">
        <v>448</v>
      </c>
      <c r="N2211" s="656" t="s">
        <v>449</v>
      </c>
      <c r="O2211" s="656" t="s">
        <v>449</v>
      </c>
      <c r="P2211" s="656" t="s">
        <v>1176</v>
      </c>
      <c r="Q2211" s="657">
        <v>0</v>
      </c>
      <c r="R2211" s="657">
        <v>0</v>
      </c>
      <c r="S2211" s="657">
        <v>20781</v>
      </c>
      <c r="T2211" s="657">
        <v>20781</v>
      </c>
      <c r="U2211" s="657">
        <v>2350</v>
      </c>
      <c r="V2211" s="655">
        <v>2021</v>
      </c>
      <c r="W2211" s="659"/>
      <c r="X2211" s="660">
        <f t="shared" si="104"/>
        <v>8.8429787234042561</v>
      </c>
      <c r="Y2211" s="661" t="str">
        <f t="shared" si="102"/>
        <v/>
      </c>
      <c r="Z2211" s="661" t="str">
        <f t="shared" si="103"/>
        <v/>
      </c>
    </row>
    <row r="2212" spans="1:26" s="128" customFormat="1">
      <c r="A2212" s="655">
        <v>64232</v>
      </c>
      <c r="B2212" s="656" t="s">
        <v>33</v>
      </c>
      <c r="C2212" s="655" t="s">
        <v>2793</v>
      </c>
      <c r="D2212" s="656" t="s">
        <v>3298</v>
      </c>
      <c r="E2212" s="656" t="s">
        <v>3299</v>
      </c>
      <c r="F2212" s="655">
        <v>63822</v>
      </c>
      <c r="G2212" s="656" t="s">
        <v>81</v>
      </c>
      <c r="H2212" s="656" t="s">
        <v>1183</v>
      </c>
      <c r="I2212" s="656" t="s">
        <v>58</v>
      </c>
      <c r="J2212" s="655">
        <v>22</v>
      </c>
      <c r="K2212" s="655">
        <v>2</v>
      </c>
      <c r="L2212" s="656" t="s">
        <v>52</v>
      </c>
      <c r="M2212" s="656" t="s">
        <v>448</v>
      </c>
      <c r="N2212" s="656" t="s">
        <v>449</v>
      </c>
      <c r="O2212" s="656" t="s">
        <v>449</v>
      </c>
      <c r="P2212" s="656" t="s">
        <v>1176</v>
      </c>
      <c r="Q2212" s="657">
        <v>0</v>
      </c>
      <c r="R2212" s="657">
        <v>0</v>
      </c>
      <c r="S2212" s="657">
        <v>28069</v>
      </c>
      <c r="T2212" s="657">
        <v>28069</v>
      </c>
      <c r="U2212" s="657">
        <v>3174</v>
      </c>
      <c r="V2212" s="655">
        <v>2021</v>
      </c>
      <c r="W2212" s="659"/>
      <c r="X2212" s="660">
        <f t="shared" si="104"/>
        <v>8.8434152488972906</v>
      </c>
      <c r="Y2212" s="661" t="str">
        <f t="shared" si="102"/>
        <v/>
      </c>
      <c r="Z2212" s="661" t="str">
        <f t="shared" si="103"/>
        <v/>
      </c>
    </row>
    <row r="2213" spans="1:26" s="128" customFormat="1" ht="25" hidden="1">
      <c r="A2213" s="655">
        <v>64268</v>
      </c>
      <c r="B2213" s="656" t="s">
        <v>33</v>
      </c>
      <c r="C2213" s="655" t="s">
        <v>2793</v>
      </c>
      <c r="D2213" s="656" t="s">
        <v>3300</v>
      </c>
      <c r="E2213" s="656" t="s">
        <v>2327</v>
      </c>
      <c r="F2213" s="655">
        <v>60025</v>
      </c>
      <c r="G2213" s="656" t="s">
        <v>89</v>
      </c>
      <c r="H2213" s="656" t="s">
        <v>1183</v>
      </c>
      <c r="I2213" s="656" t="s">
        <v>58</v>
      </c>
      <c r="J2213" s="655">
        <v>22</v>
      </c>
      <c r="K2213" s="655">
        <v>2</v>
      </c>
      <c r="L2213" s="656" t="s">
        <v>52</v>
      </c>
      <c r="M2213" s="656" t="s">
        <v>448</v>
      </c>
      <c r="N2213" s="656" t="s">
        <v>449</v>
      </c>
      <c r="O2213" s="656" t="s">
        <v>449</v>
      </c>
      <c r="P2213" s="656" t="s">
        <v>1176</v>
      </c>
      <c r="Q2213" s="657">
        <v>0</v>
      </c>
      <c r="R2213" s="657">
        <v>0</v>
      </c>
      <c r="S2213" s="657">
        <v>26094</v>
      </c>
      <c r="T2213" s="657">
        <v>26094</v>
      </c>
      <c r="U2213" s="657">
        <v>2951</v>
      </c>
      <c r="V2213" s="655">
        <v>2021</v>
      </c>
      <c r="W2213" s="659"/>
      <c r="X2213" s="660">
        <f t="shared" si="104"/>
        <v>8.8424262961707889</v>
      </c>
      <c r="Y2213" s="661" t="str">
        <f t="shared" si="102"/>
        <v/>
      </c>
      <c r="Z2213" s="661" t="str">
        <f t="shared" si="103"/>
        <v/>
      </c>
    </row>
    <row r="2214" spans="1:26" s="128" customFormat="1" ht="25" hidden="1">
      <c r="A2214" s="655">
        <v>64299</v>
      </c>
      <c r="B2214" s="656" t="s">
        <v>33</v>
      </c>
      <c r="C2214" s="655" t="s">
        <v>2793</v>
      </c>
      <c r="D2214" s="656" t="s">
        <v>3453</v>
      </c>
      <c r="E2214" s="656" t="s">
        <v>3454</v>
      </c>
      <c r="F2214" s="655">
        <v>62679</v>
      </c>
      <c r="G2214" s="656" t="s">
        <v>131</v>
      </c>
      <c r="H2214" s="656" t="s">
        <v>1183</v>
      </c>
      <c r="I2214" s="656" t="s">
        <v>58</v>
      </c>
      <c r="J2214" s="655">
        <v>22</v>
      </c>
      <c r="K2214" s="655">
        <v>2</v>
      </c>
      <c r="L2214" s="656" t="s">
        <v>52</v>
      </c>
      <c r="M2214" s="656" t="s">
        <v>448</v>
      </c>
      <c r="N2214" s="656" t="s">
        <v>449</v>
      </c>
      <c r="O2214" s="656" t="s">
        <v>449</v>
      </c>
      <c r="P2214" s="656" t="s">
        <v>1176</v>
      </c>
      <c r="Q2214" s="657">
        <v>0</v>
      </c>
      <c r="R2214" s="657">
        <v>0</v>
      </c>
      <c r="S2214" s="657">
        <v>33303</v>
      </c>
      <c r="T2214" s="657">
        <v>33303</v>
      </c>
      <c r="U2214" s="657">
        <v>3766</v>
      </c>
      <c r="V2214" s="655">
        <v>2021</v>
      </c>
      <c r="W2214" s="659"/>
      <c r="X2214" s="660">
        <f t="shared" si="104"/>
        <v>8.8430695698353698</v>
      </c>
      <c r="Y2214" s="661" t="str">
        <f t="shared" si="102"/>
        <v/>
      </c>
      <c r="Z2214" s="661" t="str">
        <f t="shared" si="103"/>
        <v/>
      </c>
    </row>
    <row r="2215" spans="1:26" s="128" customFormat="1" hidden="1">
      <c r="A2215" s="655">
        <v>64310</v>
      </c>
      <c r="B2215" s="656" t="s">
        <v>33</v>
      </c>
      <c r="C2215" s="655" t="s">
        <v>2793</v>
      </c>
      <c r="D2215" s="656" t="s">
        <v>3301</v>
      </c>
      <c r="E2215" s="656" t="s">
        <v>3302</v>
      </c>
      <c r="F2215" s="655">
        <v>63900</v>
      </c>
      <c r="G2215" s="656" t="s">
        <v>57</v>
      </c>
      <c r="H2215" s="656" t="s">
        <v>1182</v>
      </c>
      <c r="I2215" s="656" t="s">
        <v>58</v>
      </c>
      <c r="J2215" s="655">
        <v>22</v>
      </c>
      <c r="K2215" s="655">
        <v>2</v>
      </c>
      <c r="L2215" s="656" t="s">
        <v>52</v>
      </c>
      <c r="M2215" s="656" t="s">
        <v>448</v>
      </c>
      <c r="N2215" s="656" t="s">
        <v>449</v>
      </c>
      <c r="O2215" s="656" t="s">
        <v>449</v>
      </c>
      <c r="P2215" s="656" t="s">
        <v>1176</v>
      </c>
      <c r="Q2215" s="657">
        <v>0</v>
      </c>
      <c r="R2215" s="657">
        <v>0</v>
      </c>
      <c r="S2215" s="657">
        <v>53943</v>
      </c>
      <c r="T2215" s="657">
        <v>53943</v>
      </c>
      <c r="U2215" s="657">
        <v>6100</v>
      </c>
      <c r="V2215" s="655">
        <v>2021</v>
      </c>
      <c r="W2215" s="659"/>
      <c r="X2215" s="660">
        <f t="shared" si="104"/>
        <v>8.8431147540983606</v>
      </c>
      <c r="Y2215" s="661" t="str">
        <f t="shared" si="102"/>
        <v/>
      </c>
      <c r="Z2215" s="661" t="str">
        <f t="shared" si="103"/>
        <v/>
      </c>
    </row>
    <row r="2216" spans="1:26" s="128" customFormat="1" hidden="1">
      <c r="A2216" s="655">
        <v>64333</v>
      </c>
      <c r="B2216" s="656" t="s">
        <v>33</v>
      </c>
      <c r="C2216" s="655" t="s">
        <v>2793</v>
      </c>
      <c r="D2216" s="656" t="s">
        <v>3303</v>
      </c>
      <c r="E2216" s="656" t="s">
        <v>3303</v>
      </c>
      <c r="F2216" s="655">
        <v>63904</v>
      </c>
      <c r="G2216" s="656" t="s">
        <v>131</v>
      </c>
      <c r="H2216" s="656" t="s">
        <v>1183</v>
      </c>
      <c r="I2216" s="656" t="s">
        <v>58</v>
      </c>
      <c r="J2216" s="655">
        <v>22</v>
      </c>
      <c r="K2216" s="655">
        <v>2</v>
      </c>
      <c r="L2216" s="656" t="s">
        <v>52</v>
      </c>
      <c r="M2216" s="656" t="s">
        <v>448</v>
      </c>
      <c r="N2216" s="656" t="s">
        <v>449</v>
      </c>
      <c r="O2216" s="656" t="s">
        <v>449</v>
      </c>
      <c r="P2216" s="656" t="s">
        <v>1176</v>
      </c>
      <c r="Q2216" s="657">
        <v>0</v>
      </c>
      <c r="R2216" s="657">
        <v>0</v>
      </c>
      <c r="S2216" s="657">
        <v>30916</v>
      </c>
      <c r="T2216" s="657">
        <v>30916</v>
      </c>
      <c r="U2216" s="657">
        <v>3496</v>
      </c>
      <c r="V2216" s="655">
        <v>2021</v>
      </c>
      <c r="W2216" s="659"/>
      <c r="X2216" s="660">
        <f t="shared" si="104"/>
        <v>8.8432494279176197</v>
      </c>
      <c r="Y2216" s="661" t="str">
        <f t="shared" si="102"/>
        <v/>
      </c>
      <c r="Z2216" s="661" t="str">
        <f t="shared" si="103"/>
        <v/>
      </c>
    </row>
    <row r="2217" spans="1:26" s="128" customFormat="1" ht="25" hidden="1">
      <c r="A2217" s="655">
        <v>64334</v>
      </c>
      <c r="B2217" s="656" t="s">
        <v>33</v>
      </c>
      <c r="C2217" s="655" t="s">
        <v>2793</v>
      </c>
      <c r="D2217" s="656" t="s">
        <v>3304</v>
      </c>
      <c r="E2217" s="656" t="s">
        <v>3304</v>
      </c>
      <c r="F2217" s="655">
        <v>63905</v>
      </c>
      <c r="G2217" s="656" t="s">
        <v>131</v>
      </c>
      <c r="H2217" s="656" t="s">
        <v>1183</v>
      </c>
      <c r="I2217" s="656" t="s">
        <v>58</v>
      </c>
      <c r="J2217" s="655">
        <v>22</v>
      </c>
      <c r="K2217" s="655">
        <v>2</v>
      </c>
      <c r="L2217" s="656" t="s">
        <v>52</v>
      </c>
      <c r="M2217" s="656" t="s">
        <v>448</v>
      </c>
      <c r="N2217" s="656" t="s">
        <v>449</v>
      </c>
      <c r="O2217" s="656" t="s">
        <v>449</v>
      </c>
      <c r="P2217" s="656" t="s">
        <v>1176</v>
      </c>
      <c r="Q2217" s="657">
        <v>0</v>
      </c>
      <c r="R2217" s="657">
        <v>0</v>
      </c>
      <c r="S2217" s="657">
        <v>24071</v>
      </c>
      <c r="T2217" s="657">
        <v>24071</v>
      </c>
      <c r="U2217" s="657">
        <v>2722</v>
      </c>
      <c r="V2217" s="655">
        <v>2021</v>
      </c>
      <c r="W2217" s="659"/>
      <c r="X2217" s="660">
        <f t="shared" si="104"/>
        <v>8.8431300514327695</v>
      </c>
      <c r="Y2217" s="661" t="str">
        <f t="shared" si="102"/>
        <v/>
      </c>
      <c r="Z2217" s="661" t="str">
        <f t="shared" si="103"/>
        <v/>
      </c>
    </row>
    <row r="2218" spans="1:26" s="128" customFormat="1" hidden="1">
      <c r="A2218" s="655">
        <v>64337</v>
      </c>
      <c r="B2218" s="656" t="s">
        <v>33</v>
      </c>
      <c r="C2218" s="655" t="s">
        <v>2793</v>
      </c>
      <c r="D2218" s="656" t="s">
        <v>3455</v>
      </c>
      <c r="E2218" s="656" t="s">
        <v>3456</v>
      </c>
      <c r="F2218" s="655">
        <v>63955</v>
      </c>
      <c r="G2218" s="656" t="s">
        <v>90</v>
      </c>
      <c r="H2218" s="656" t="s">
        <v>1183</v>
      </c>
      <c r="I2218" s="656" t="s">
        <v>58</v>
      </c>
      <c r="J2218" s="655">
        <v>22</v>
      </c>
      <c r="K2218" s="655">
        <v>2</v>
      </c>
      <c r="L2218" s="656" t="s">
        <v>52</v>
      </c>
      <c r="M2218" s="656" t="s">
        <v>448</v>
      </c>
      <c r="N2218" s="656" t="s">
        <v>449</v>
      </c>
      <c r="O2218" s="656" t="s">
        <v>449</v>
      </c>
      <c r="P2218" s="656" t="s">
        <v>1176</v>
      </c>
      <c r="Q2218" s="657">
        <v>0</v>
      </c>
      <c r="R2218" s="657">
        <v>0</v>
      </c>
      <c r="S2218" s="657">
        <v>143708</v>
      </c>
      <c r="T2218" s="657">
        <v>143708</v>
      </c>
      <c r="U2218" s="657">
        <v>16251</v>
      </c>
      <c r="V2218" s="655">
        <v>2021</v>
      </c>
      <c r="W2218" s="659"/>
      <c r="X2218" s="660">
        <f t="shared" si="104"/>
        <v>8.8430250446126397</v>
      </c>
      <c r="Y2218" s="661" t="str">
        <f t="shared" si="102"/>
        <v/>
      </c>
      <c r="Z2218" s="661" t="str">
        <f t="shared" si="103"/>
        <v/>
      </c>
    </row>
    <row r="2219" spans="1:26" s="128" customFormat="1" hidden="1">
      <c r="A2219" s="655">
        <v>64350</v>
      </c>
      <c r="B2219" s="656" t="s">
        <v>33</v>
      </c>
      <c r="C2219" s="655" t="s">
        <v>2793</v>
      </c>
      <c r="D2219" s="656" t="s">
        <v>3305</v>
      </c>
      <c r="E2219" s="656" t="s">
        <v>3306</v>
      </c>
      <c r="F2219" s="655">
        <v>63963</v>
      </c>
      <c r="G2219" s="656" t="s">
        <v>57</v>
      </c>
      <c r="H2219" s="656" t="s">
        <v>1182</v>
      </c>
      <c r="I2219" s="656" t="s">
        <v>58</v>
      </c>
      <c r="J2219" s="655">
        <v>22</v>
      </c>
      <c r="K2219" s="655">
        <v>2</v>
      </c>
      <c r="L2219" s="656" t="s">
        <v>52</v>
      </c>
      <c r="M2219" s="656" t="s">
        <v>1255</v>
      </c>
      <c r="N2219" s="656" t="s">
        <v>39</v>
      </c>
      <c r="O2219" s="656" t="s">
        <v>39</v>
      </c>
      <c r="P2219" s="656" t="s">
        <v>1037</v>
      </c>
      <c r="Q2219" s="657">
        <v>344425</v>
      </c>
      <c r="R2219" s="657">
        <v>344425</v>
      </c>
      <c r="S2219" s="657">
        <v>344425</v>
      </c>
      <c r="T2219" s="657">
        <v>344425</v>
      </c>
      <c r="U2219" s="657">
        <v>51360</v>
      </c>
      <c r="V2219" s="655">
        <v>2021</v>
      </c>
      <c r="W2219" s="659"/>
      <c r="X2219" s="660">
        <f t="shared" si="104"/>
        <v>6.7060942367601246</v>
      </c>
      <c r="Y2219" s="661" t="str">
        <f t="shared" si="102"/>
        <v/>
      </c>
      <c r="Z2219" s="661" t="str">
        <f t="shared" si="103"/>
        <v/>
      </c>
    </row>
    <row r="2220" spans="1:26" s="128" customFormat="1" hidden="1">
      <c r="A2220" s="655">
        <v>64351</v>
      </c>
      <c r="B2220" s="656" t="s">
        <v>33</v>
      </c>
      <c r="C2220" s="655" t="s">
        <v>2793</v>
      </c>
      <c r="D2220" s="656" t="s">
        <v>3457</v>
      </c>
      <c r="E2220" s="656" t="s">
        <v>3458</v>
      </c>
      <c r="F2220" s="655">
        <v>63962</v>
      </c>
      <c r="G2220" s="656" t="s">
        <v>57</v>
      </c>
      <c r="H2220" s="656" t="s">
        <v>1182</v>
      </c>
      <c r="I2220" s="656" t="s">
        <v>58</v>
      </c>
      <c r="J2220" s="655">
        <v>22</v>
      </c>
      <c r="K2220" s="655">
        <v>2</v>
      </c>
      <c r="L2220" s="656" t="s">
        <v>52</v>
      </c>
      <c r="M2220" s="656" t="s">
        <v>448</v>
      </c>
      <c r="N2220" s="656" t="s">
        <v>449</v>
      </c>
      <c r="O2220" s="656" t="s">
        <v>449</v>
      </c>
      <c r="P2220" s="656" t="s">
        <v>1176</v>
      </c>
      <c r="Q2220" s="657">
        <v>0</v>
      </c>
      <c r="R2220" s="657">
        <v>0</v>
      </c>
      <c r="S2220" s="657">
        <v>24699</v>
      </c>
      <c r="T2220" s="657">
        <v>24699</v>
      </c>
      <c r="U2220" s="657">
        <v>2793</v>
      </c>
      <c r="V2220" s="655">
        <v>2021</v>
      </c>
      <c r="W2220" s="659"/>
      <c r="X2220" s="660">
        <f t="shared" si="104"/>
        <v>8.8431793770139642</v>
      </c>
      <c r="Y2220" s="661" t="str">
        <f t="shared" si="102"/>
        <v/>
      </c>
      <c r="Z2220" s="661" t="str">
        <f t="shared" si="103"/>
        <v/>
      </c>
    </row>
    <row r="2221" spans="1:26" s="128" customFormat="1" hidden="1">
      <c r="A2221" s="655">
        <v>64370</v>
      </c>
      <c r="B2221" s="656" t="s">
        <v>33</v>
      </c>
      <c r="C2221" s="655" t="s">
        <v>2793</v>
      </c>
      <c r="D2221" s="656" t="s">
        <v>3307</v>
      </c>
      <c r="E2221" s="656" t="s">
        <v>1965</v>
      </c>
      <c r="F2221" s="655">
        <v>58135</v>
      </c>
      <c r="G2221" s="656" t="s">
        <v>41</v>
      </c>
      <c r="H2221" s="656" t="s">
        <v>1183</v>
      </c>
      <c r="I2221" s="656" t="s">
        <v>58</v>
      </c>
      <c r="J2221" s="655">
        <v>22</v>
      </c>
      <c r="K2221" s="655">
        <v>2</v>
      </c>
      <c r="L2221" s="656" t="s">
        <v>52</v>
      </c>
      <c r="M2221" s="656" t="s">
        <v>448</v>
      </c>
      <c r="N2221" s="656" t="s">
        <v>449</v>
      </c>
      <c r="O2221" s="656" t="s">
        <v>449</v>
      </c>
      <c r="P2221" s="656" t="s">
        <v>1176</v>
      </c>
      <c r="Q2221" s="657">
        <v>0</v>
      </c>
      <c r="R2221" s="657">
        <v>0</v>
      </c>
      <c r="S2221" s="657">
        <v>10992</v>
      </c>
      <c r="T2221" s="657">
        <v>10992</v>
      </c>
      <c r="U2221" s="657">
        <v>1243</v>
      </c>
      <c r="V2221" s="655">
        <v>2021</v>
      </c>
      <c r="W2221" s="659"/>
      <c r="X2221" s="660">
        <f t="shared" si="104"/>
        <v>8.8431214802896214</v>
      </c>
      <c r="Y2221" s="661" t="str">
        <f t="shared" si="102"/>
        <v/>
      </c>
      <c r="Z2221" s="661" t="str">
        <f t="shared" si="103"/>
        <v/>
      </c>
    </row>
    <row r="2222" spans="1:26" s="128" customFormat="1" hidden="1">
      <c r="A2222" s="655">
        <v>64371</v>
      </c>
      <c r="B2222" s="656" t="s">
        <v>33</v>
      </c>
      <c r="C2222" s="655" t="s">
        <v>2793</v>
      </c>
      <c r="D2222" s="656" t="s">
        <v>3459</v>
      </c>
      <c r="E2222" s="656" t="s">
        <v>3460</v>
      </c>
      <c r="F2222" s="655">
        <v>63991</v>
      </c>
      <c r="G2222" s="656" t="s">
        <v>57</v>
      </c>
      <c r="H2222" s="656" t="s">
        <v>1182</v>
      </c>
      <c r="I2222" s="656" t="s">
        <v>58</v>
      </c>
      <c r="J2222" s="655">
        <v>22</v>
      </c>
      <c r="K2222" s="655">
        <v>2</v>
      </c>
      <c r="L2222" s="656" t="s">
        <v>52</v>
      </c>
      <c r="M2222" s="656" t="s">
        <v>448</v>
      </c>
      <c r="N2222" s="656" t="s">
        <v>449</v>
      </c>
      <c r="O2222" s="656" t="s">
        <v>449</v>
      </c>
      <c r="P2222" s="656" t="s">
        <v>1176</v>
      </c>
      <c r="Q2222" s="657">
        <v>0</v>
      </c>
      <c r="R2222" s="657">
        <v>0</v>
      </c>
      <c r="S2222" s="657">
        <v>5191</v>
      </c>
      <c r="T2222" s="657">
        <v>5191</v>
      </c>
      <c r="U2222" s="657">
        <v>587</v>
      </c>
      <c r="V2222" s="655">
        <v>2021</v>
      </c>
      <c r="W2222" s="659"/>
      <c r="X2222" s="660">
        <f t="shared" si="104"/>
        <v>8.843270868824531</v>
      </c>
      <c r="Y2222" s="661" t="str">
        <f t="shared" si="102"/>
        <v/>
      </c>
      <c r="Z2222" s="661" t="str">
        <f t="shared" si="103"/>
        <v/>
      </c>
    </row>
    <row r="2223" spans="1:26" s="128" customFormat="1" hidden="1">
      <c r="A2223" s="655">
        <v>64372</v>
      </c>
      <c r="B2223" s="656" t="s">
        <v>33</v>
      </c>
      <c r="C2223" s="655" t="s">
        <v>2793</v>
      </c>
      <c r="D2223" s="656" t="s">
        <v>3461</v>
      </c>
      <c r="E2223" s="656" t="s">
        <v>3460</v>
      </c>
      <c r="F2223" s="655">
        <v>63991</v>
      </c>
      <c r="G2223" s="656" t="s">
        <v>57</v>
      </c>
      <c r="H2223" s="656" t="s">
        <v>1182</v>
      </c>
      <c r="I2223" s="656" t="s">
        <v>58</v>
      </c>
      <c r="J2223" s="655">
        <v>22</v>
      </c>
      <c r="K2223" s="655">
        <v>2</v>
      </c>
      <c r="L2223" s="656" t="s">
        <v>52</v>
      </c>
      <c r="M2223" s="656" t="s">
        <v>448</v>
      </c>
      <c r="N2223" s="656" t="s">
        <v>449</v>
      </c>
      <c r="O2223" s="656" t="s">
        <v>449</v>
      </c>
      <c r="P2223" s="656" t="s">
        <v>1176</v>
      </c>
      <c r="Q2223" s="657">
        <v>0</v>
      </c>
      <c r="R2223" s="657">
        <v>0</v>
      </c>
      <c r="S2223" s="657">
        <v>0</v>
      </c>
      <c r="T2223" s="657">
        <v>0</v>
      </c>
      <c r="U2223" s="657">
        <v>0</v>
      </c>
      <c r="V2223" s="655">
        <v>2021</v>
      </c>
      <c r="W2223" s="659"/>
      <c r="X2223" s="660" t="str">
        <f t="shared" si="104"/>
        <v/>
      </c>
      <c r="Y2223" s="661" t="str">
        <f t="shared" si="102"/>
        <v/>
      </c>
      <c r="Z2223" s="661" t="str">
        <f t="shared" si="103"/>
        <v/>
      </c>
    </row>
    <row r="2224" spans="1:26" s="128" customFormat="1" hidden="1">
      <c r="A2224" s="655">
        <v>64373</v>
      </c>
      <c r="B2224" s="656" t="s">
        <v>33</v>
      </c>
      <c r="C2224" s="655" t="s">
        <v>2793</v>
      </c>
      <c r="D2224" s="656" t="s">
        <v>3462</v>
      </c>
      <c r="E2224" s="656" t="s">
        <v>3460</v>
      </c>
      <c r="F2224" s="655">
        <v>63991</v>
      </c>
      <c r="G2224" s="656" t="s">
        <v>57</v>
      </c>
      <c r="H2224" s="656" t="s">
        <v>1182</v>
      </c>
      <c r="I2224" s="656" t="s">
        <v>58</v>
      </c>
      <c r="J2224" s="655">
        <v>22</v>
      </c>
      <c r="K2224" s="655">
        <v>2</v>
      </c>
      <c r="L2224" s="656" t="s">
        <v>52</v>
      </c>
      <c r="M2224" s="656" t="s">
        <v>448</v>
      </c>
      <c r="N2224" s="656" t="s">
        <v>449</v>
      </c>
      <c r="O2224" s="656" t="s">
        <v>449</v>
      </c>
      <c r="P2224" s="656" t="s">
        <v>1176</v>
      </c>
      <c r="Q2224" s="657">
        <v>0</v>
      </c>
      <c r="R2224" s="657">
        <v>0</v>
      </c>
      <c r="S2224" s="657">
        <v>2592</v>
      </c>
      <c r="T2224" s="657">
        <v>2592</v>
      </c>
      <c r="U2224" s="657">
        <v>293</v>
      </c>
      <c r="V2224" s="655">
        <v>2021</v>
      </c>
      <c r="W2224" s="659"/>
      <c r="X2224" s="660">
        <f t="shared" si="104"/>
        <v>8.8464163822525599</v>
      </c>
      <c r="Y2224" s="661" t="str">
        <f t="shared" si="102"/>
        <v/>
      </c>
      <c r="Z2224" s="661" t="str">
        <f t="shared" si="103"/>
        <v/>
      </c>
    </row>
    <row r="2225" spans="1:26" s="128" customFormat="1" ht="25" hidden="1">
      <c r="A2225" s="655">
        <v>64374</v>
      </c>
      <c r="B2225" s="656" t="s">
        <v>33</v>
      </c>
      <c r="C2225" s="655" t="s">
        <v>2793</v>
      </c>
      <c r="D2225" s="656" t="s">
        <v>3463</v>
      </c>
      <c r="E2225" s="656" t="s">
        <v>3460</v>
      </c>
      <c r="F2225" s="655">
        <v>63991</v>
      </c>
      <c r="G2225" s="656" t="s">
        <v>57</v>
      </c>
      <c r="H2225" s="656" t="s">
        <v>1182</v>
      </c>
      <c r="I2225" s="656" t="s">
        <v>58</v>
      </c>
      <c r="J2225" s="655">
        <v>22</v>
      </c>
      <c r="K2225" s="655">
        <v>2</v>
      </c>
      <c r="L2225" s="656" t="s">
        <v>52</v>
      </c>
      <c r="M2225" s="656" t="s">
        <v>1890</v>
      </c>
      <c r="N2225" s="656" t="s">
        <v>1052</v>
      </c>
      <c r="O2225" s="656" t="s">
        <v>82</v>
      </c>
      <c r="P2225" s="656" t="s">
        <v>2794</v>
      </c>
      <c r="Q2225" s="657">
        <v>0</v>
      </c>
      <c r="R2225" s="657">
        <v>0</v>
      </c>
      <c r="S2225" s="657">
        <v>0</v>
      </c>
      <c r="T2225" s="657">
        <v>0</v>
      </c>
      <c r="U2225" s="657">
        <v>0</v>
      </c>
      <c r="V2225" s="655">
        <v>2021</v>
      </c>
      <c r="W2225" s="659"/>
      <c r="X2225" s="660" t="str">
        <f t="shared" si="104"/>
        <v/>
      </c>
      <c r="Y2225" s="661" t="str">
        <f t="shared" si="102"/>
        <v/>
      </c>
      <c r="Z2225" s="661" t="str">
        <f t="shared" si="103"/>
        <v/>
      </c>
    </row>
    <row r="2226" spans="1:26" s="128" customFormat="1" ht="25" hidden="1">
      <c r="A2226" s="655">
        <v>64374</v>
      </c>
      <c r="B2226" s="656" t="s">
        <v>33</v>
      </c>
      <c r="C2226" s="655" t="s">
        <v>2793</v>
      </c>
      <c r="D2226" s="656" t="s">
        <v>3463</v>
      </c>
      <c r="E2226" s="656" t="s">
        <v>3460</v>
      </c>
      <c r="F2226" s="655">
        <v>63991</v>
      </c>
      <c r="G2226" s="656" t="s">
        <v>57</v>
      </c>
      <c r="H2226" s="656" t="s">
        <v>1182</v>
      </c>
      <c r="I2226" s="656" t="s">
        <v>58</v>
      </c>
      <c r="J2226" s="655">
        <v>22</v>
      </c>
      <c r="K2226" s="655">
        <v>2</v>
      </c>
      <c r="L2226" s="656" t="s">
        <v>52</v>
      </c>
      <c r="M2226" s="656" t="s">
        <v>448</v>
      </c>
      <c r="N2226" s="656" t="s">
        <v>449</v>
      </c>
      <c r="O2226" s="656" t="s">
        <v>449</v>
      </c>
      <c r="P2226" s="656" t="s">
        <v>1176</v>
      </c>
      <c r="Q2226" s="657">
        <v>0</v>
      </c>
      <c r="R2226" s="657">
        <v>0</v>
      </c>
      <c r="S2226" s="657">
        <v>10169</v>
      </c>
      <c r="T2226" s="657">
        <v>10169</v>
      </c>
      <c r="U2226" s="657">
        <v>1150</v>
      </c>
      <c r="V2226" s="655">
        <v>2021</v>
      </c>
      <c r="W2226" s="659"/>
      <c r="X2226" s="660">
        <f t="shared" si="104"/>
        <v>8.8426086956521743</v>
      </c>
      <c r="Y2226" s="661" t="str">
        <f t="shared" si="102"/>
        <v/>
      </c>
      <c r="Z2226" s="661" t="str">
        <f t="shared" si="103"/>
        <v/>
      </c>
    </row>
    <row r="2227" spans="1:26" s="128" customFormat="1" ht="25" hidden="1">
      <c r="A2227" s="655">
        <v>64378</v>
      </c>
      <c r="B2227" s="656" t="s">
        <v>33</v>
      </c>
      <c r="C2227" s="655" t="s">
        <v>2793</v>
      </c>
      <c r="D2227" s="656" t="s">
        <v>3308</v>
      </c>
      <c r="E2227" s="656" t="s">
        <v>3464</v>
      </c>
      <c r="F2227" s="655">
        <v>64585</v>
      </c>
      <c r="G2227" s="656" t="s">
        <v>81</v>
      </c>
      <c r="H2227" s="656" t="s">
        <v>1183</v>
      </c>
      <c r="I2227" s="656" t="s">
        <v>58</v>
      </c>
      <c r="J2227" s="655">
        <v>311</v>
      </c>
      <c r="K2227" s="655">
        <v>6</v>
      </c>
      <c r="L2227" s="656" t="s">
        <v>410</v>
      </c>
      <c r="M2227" s="656" t="s">
        <v>51</v>
      </c>
      <c r="N2227" s="656" t="s">
        <v>46</v>
      </c>
      <c r="O2227" s="656" t="s">
        <v>46</v>
      </c>
      <c r="P2227" s="656" t="s">
        <v>47</v>
      </c>
      <c r="Q2227" s="657">
        <v>14</v>
      </c>
      <c r="R2227" s="657">
        <v>14</v>
      </c>
      <c r="S2227" s="657">
        <v>82</v>
      </c>
      <c r="T2227" s="657">
        <v>82</v>
      </c>
      <c r="U2227" s="657">
        <v>9</v>
      </c>
      <c r="V2227" s="655">
        <v>2021</v>
      </c>
      <c r="W2227" s="659"/>
      <c r="X2227" s="660" t="str">
        <f t="shared" si="104"/>
        <v/>
      </c>
      <c r="Y2227" s="661" t="str">
        <f t="shared" si="102"/>
        <v/>
      </c>
      <c r="Z2227" s="661" t="str">
        <f t="shared" si="103"/>
        <v/>
      </c>
    </row>
    <row r="2228" spans="1:26" s="128" customFormat="1" ht="25" hidden="1">
      <c r="A2228" s="655">
        <v>64382</v>
      </c>
      <c r="B2228" s="656" t="s">
        <v>33</v>
      </c>
      <c r="C2228" s="655" t="s">
        <v>2793</v>
      </c>
      <c r="D2228" s="656" t="s">
        <v>3309</v>
      </c>
      <c r="E2228" s="656" t="s">
        <v>3310</v>
      </c>
      <c r="F2228" s="655">
        <v>63994</v>
      </c>
      <c r="G2228" s="656" t="s">
        <v>81</v>
      </c>
      <c r="H2228" s="656" t="s">
        <v>1183</v>
      </c>
      <c r="I2228" s="656" t="s">
        <v>58</v>
      </c>
      <c r="J2228" s="655">
        <v>334</v>
      </c>
      <c r="K2228" s="655">
        <v>6</v>
      </c>
      <c r="L2228" s="656" t="s">
        <v>410</v>
      </c>
      <c r="M2228" s="656" t="s">
        <v>51</v>
      </c>
      <c r="N2228" s="656" t="s">
        <v>46</v>
      </c>
      <c r="O2228" s="656" t="s">
        <v>46</v>
      </c>
      <c r="P2228" s="656" t="s">
        <v>47</v>
      </c>
      <c r="Q2228" s="657">
        <v>8</v>
      </c>
      <c r="R2228" s="657">
        <v>8</v>
      </c>
      <c r="S2228" s="657">
        <v>46</v>
      </c>
      <c r="T2228" s="657">
        <v>46</v>
      </c>
      <c r="U2228" s="657">
        <v>3.5630000000000002</v>
      </c>
      <c r="V2228" s="655">
        <v>2021</v>
      </c>
      <c r="W2228" s="659"/>
      <c r="X2228" s="660" t="str">
        <f t="shared" si="104"/>
        <v/>
      </c>
      <c r="Y2228" s="661" t="str">
        <f t="shared" si="102"/>
        <v/>
      </c>
      <c r="Z2228" s="661" t="str">
        <f t="shared" si="103"/>
        <v/>
      </c>
    </row>
    <row r="2229" spans="1:26" s="128" customFormat="1" ht="25" hidden="1">
      <c r="A2229" s="655">
        <v>64382</v>
      </c>
      <c r="B2229" s="656" t="s">
        <v>33</v>
      </c>
      <c r="C2229" s="655" t="s">
        <v>2793</v>
      </c>
      <c r="D2229" s="656" t="s">
        <v>3309</v>
      </c>
      <c r="E2229" s="656" t="s">
        <v>3310</v>
      </c>
      <c r="F2229" s="655">
        <v>63994</v>
      </c>
      <c r="G2229" s="656" t="s">
        <v>81</v>
      </c>
      <c r="H2229" s="656" t="s">
        <v>1183</v>
      </c>
      <c r="I2229" s="656" t="s">
        <v>58</v>
      </c>
      <c r="J2229" s="655">
        <v>334</v>
      </c>
      <c r="K2229" s="655">
        <v>6</v>
      </c>
      <c r="L2229" s="656" t="s">
        <v>410</v>
      </c>
      <c r="M2229" s="656" t="s">
        <v>51</v>
      </c>
      <c r="N2229" s="656" t="s">
        <v>39</v>
      </c>
      <c r="O2229" s="656" t="s">
        <v>39</v>
      </c>
      <c r="P2229" s="656" t="s">
        <v>1037</v>
      </c>
      <c r="Q2229" s="657">
        <v>146</v>
      </c>
      <c r="R2229" s="657">
        <v>146</v>
      </c>
      <c r="S2229" s="657">
        <v>146</v>
      </c>
      <c r="T2229" s="657">
        <v>146</v>
      </c>
      <c r="U2229" s="657">
        <v>11.436999999999999</v>
      </c>
      <c r="V2229" s="655">
        <v>2021</v>
      </c>
      <c r="W2229" s="659"/>
      <c r="X2229" s="660" t="str">
        <f t="shared" si="104"/>
        <v/>
      </c>
      <c r="Y2229" s="661" t="str">
        <f t="shared" si="102"/>
        <v/>
      </c>
      <c r="Z2229" s="661" t="str">
        <f t="shared" si="103"/>
        <v/>
      </c>
    </row>
    <row r="2230" spans="1:26" s="128" customFormat="1" hidden="1">
      <c r="A2230" s="655">
        <v>64387</v>
      </c>
      <c r="B2230" s="656" t="s">
        <v>33</v>
      </c>
      <c r="C2230" s="655" t="s">
        <v>2793</v>
      </c>
      <c r="D2230" s="656" t="s">
        <v>3465</v>
      </c>
      <c r="E2230" s="656" t="s">
        <v>3466</v>
      </c>
      <c r="F2230" s="655">
        <v>63999</v>
      </c>
      <c r="G2230" s="656" t="s">
        <v>41</v>
      </c>
      <c r="H2230" s="656" t="s">
        <v>1183</v>
      </c>
      <c r="I2230" s="656" t="s">
        <v>58</v>
      </c>
      <c r="J2230" s="655">
        <v>22</v>
      </c>
      <c r="K2230" s="655">
        <v>2</v>
      </c>
      <c r="L2230" s="656" t="s">
        <v>52</v>
      </c>
      <c r="M2230" s="656" t="s">
        <v>448</v>
      </c>
      <c r="N2230" s="656" t="s">
        <v>449</v>
      </c>
      <c r="O2230" s="656" t="s">
        <v>449</v>
      </c>
      <c r="P2230" s="656" t="s">
        <v>1176</v>
      </c>
      <c r="Q2230" s="657">
        <v>0</v>
      </c>
      <c r="R2230" s="657">
        <v>0</v>
      </c>
      <c r="S2230" s="657">
        <v>7446</v>
      </c>
      <c r="T2230" s="657">
        <v>7446</v>
      </c>
      <c r="U2230" s="657">
        <v>842</v>
      </c>
      <c r="V2230" s="655">
        <v>2021</v>
      </c>
      <c r="W2230" s="659"/>
      <c r="X2230" s="660">
        <f t="shared" si="104"/>
        <v>8.8432304038004759</v>
      </c>
      <c r="Y2230" s="661" t="str">
        <f t="shared" si="102"/>
        <v/>
      </c>
      <c r="Z2230" s="661" t="str">
        <f t="shared" si="103"/>
        <v/>
      </c>
    </row>
    <row r="2231" spans="1:26" s="128" customFormat="1" ht="25">
      <c r="A2231" s="655">
        <v>64395</v>
      </c>
      <c r="B2231" s="656" t="s">
        <v>33</v>
      </c>
      <c r="C2231" s="655" t="s">
        <v>2793</v>
      </c>
      <c r="D2231" s="656" t="s">
        <v>3467</v>
      </c>
      <c r="E2231" s="656" t="s">
        <v>2210</v>
      </c>
      <c r="F2231" s="655">
        <v>61012</v>
      </c>
      <c r="G2231" s="656" t="s">
        <v>81</v>
      </c>
      <c r="H2231" s="656" t="s">
        <v>1183</v>
      </c>
      <c r="I2231" s="656" t="s">
        <v>58</v>
      </c>
      <c r="J2231" s="655">
        <v>22</v>
      </c>
      <c r="K2231" s="655">
        <v>2</v>
      </c>
      <c r="L2231" s="656" t="s">
        <v>52</v>
      </c>
      <c r="M2231" s="656" t="s">
        <v>1890</v>
      </c>
      <c r="N2231" s="656" t="s">
        <v>1052</v>
      </c>
      <c r="O2231" s="656" t="s">
        <v>82</v>
      </c>
      <c r="P2231" s="656" t="s">
        <v>2794</v>
      </c>
      <c r="Q2231" s="657">
        <v>124</v>
      </c>
      <c r="R2231" s="657">
        <v>124</v>
      </c>
      <c r="S2231" s="657">
        <v>0</v>
      </c>
      <c r="T2231" s="657">
        <v>0</v>
      </c>
      <c r="U2231" s="657">
        <v>-8</v>
      </c>
      <c r="V2231" s="655">
        <v>2021</v>
      </c>
      <c r="W2231" s="659"/>
      <c r="X2231" s="660" t="str">
        <f t="shared" si="104"/>
        <v/>
      </c>
      <c r="Y2231" s="661" t="str">
        <f t="shared" si="102"/>
        <v/>
      </c>
      <c r="Z2231" s="661" t="str">
        <f t="shared" si="103"/>
        <v/>
      </c>
    </row>
    <row r="2232" spans="1:26" s="128" customFormat="1" ht="25">
      <c r="A2232" s="655">
        <v>64395</v>
      </c>
      <c r="B2232" s="656" t="s">
        <v>33</v>
      </c>
      <c r="C2232" s="655" t="s">
        <v>2793</v>
      </c>
      <c r="D2232" s="656" t="s">
        <v>3467</v>
      </c>
      <c r="E2232" s="656" t="s">
        <v>2210</v>
      </c>
      <c r="F2232" s="655">
        <v>61012</v>
      </c>
      <c r="G2232" s="656" t="s">
        <v>81</v>
      </c>
      <c r="H2232" s="656" t="s">
        <v>1183</v>
      </c>
      <c r="I2232" s="656" t="s">
        <v>58</v>
      </c>
      <c r="J2232" s="655">
        <v>22</v>
      </c>
      <c r="K2232" s="655">
        <v>2</v>
      </c>
      <c r="L2232" s="656" t="s">
        <v>52</v>
      </c>
      <c r="M2232" s="656" t="s">
        <v>448</v>
      </c>
      <c r="N2232" s="656" t="s">
        <v>449</v>
      </c>
      <c r="O2232" s="656" t="s">
        <v>449</v>
      </c>
      <c r="P2232" s="656" t="s">
        <v>1176</v>
      </c>
      <c r="Q2232" s="657">
        <v>0</v>
      </c>
      <c r="R2232" s="657">
        <v>0</v>
      </c>
      <c r="S2232" s="657">
        <v>1795</v>
      </c>
      <c r="T2232" s="657">
        <v>1795</v>
      </c>
      <c r="U2232" s="657">
        <v>203</v>
      </c>
      <c r="V2232" s="655">
        <v>2021</v>
      </c>
      <c r="W2232" s="659"/>
      <c r="X2232" s="660">
        <f t="shared" si="104"/>
        <v>8.8423645320197046</v>
      </c>
      <c r="Y2232" s="661" t="str">
        <f t="shared" si="102"/>
        <v/>
      </c>
      <c r="Z2232" s="661" t="str">
        <f t="shared" si="103"/>
        <v/>
      </c>
    </row>
    <row r="2233" spans="1:26" s="128" customFormat="1" hidden="1">
      <c r="A2233" s="655">
        <v>64408</v>
      </c>
      <c r="B2233" s="656" t="s">
        <v>54</v>
      </c>
      <c r="C2233" s="655" t="s">
        <v>2793</v>
      </c>
      <c r="D2233" s="656" t="s">
        <v>3311</v>
      </c>
      <c r="E2233" s="656" t="s">
        <v>867</v>
      </c>
      <c r="F2233" s="655">
        <v>16191</v>
      </c>
      <c r="G2233" s="656" t="s">
        <v>90</v>
      </c>
      <c r="H2233" s="656" t="s">
        <v>1183</v>
      </c>
      <c r="I2233" s="656" t="s">
        <v>58</v>
      </c>
      <c r="J2233" s="655">
        <v>22</v>
      </c>
      <c r="K2233" s="655">
        <v>3</v>
      </c>
      <c r="L2233" s="656" t="s">
        <v>55</v>
      </c>
      <c r="M2233" s="656" t="s">
        <v>42</v>
      </c>
      <c r="N2233" s="656" t="s">
        <v>69</v>
      </c>
      <c r="O2233" s="656" t="s">
        <v>70</v>
      </c>
      <c r="P2233" s="656" t="s">
        <v>45</v>
      </c>
      <c r="Q2233" s="657">
        <v>121350</v>
      </c>
      <c r="R2233" s="657">
        <v>72597</v>
      </c>
      <c r="S2233" s="657">
        <v>1031479</v>
      </c>
      <c r="T2233" s="657">
        <v>617083</v>
      </c>
      <c r="U2233" s="657">
        <v>48319</v>
      </c>
      <c r="V2233" s="655">
        <v>2021</v>
      </c>
      <c r="W2233" s="659"/>
      <c r="X2233" s="660">
        <f t="shared" si="104"/>
        <v>12.771021751277965</v>
      </c>
      <c r="Y2233" s="661" t="str">
        <f t="shared" si="102"/>
        <v/>
      </c>
      <c r="Z2233" s="661" t="str">
        <f t="shared" si="103"/>
        <v/>
      </c>
    </row>
    <row r="2234" spans="1:26" s="128" customFormat="1">
      <c r="A2234" s="655">
        <v>64417</v>
      </c>
      <c r="B2234" s="656" t="s">
        <v>33</v>
      </c>
      <c r="C2234" s="655" t="s">
        <v>2793</v>
      </c>
      <c r="D2234" s="656" t="s">
        <v>3312</v>
      </c>
      <c r="E2234" s="656" t="s">
        <v>3313</v>
      </c>
      <c r="F2234" s="655">
        <v>64057</v>
      </c>
      <c r="G2234" s="656" t="s">
        <v>81</v>
      </c>
      <c r="H2234" s="656" t="s">
        <v>1183</v>
      </c>
      <c r="I2234" s="656" t="s">
        <v>58</v>
      </c>
      <c r="J2234" s="655">
        <v>22</v>
      </c>
      <c r="K2234" s="655">
        <v>2</v>
      </c>
      <c r="L2234" s="656" t="s">
        <v>52</v>
      </c>
      <c r="M2234" s="656" t="s">
        <v>448</v>
      </c>
      <c r="N2234" s="656" t="s">
        <v>449</v>
      </c>
      <c r="O2234" s="656" t="s">
        <v>449</v>
      </c>
      <c r="P2234" s="656" t="s">
        <v>1176</v>
      </c>
      <c r="Q2234" s="657">
        <v>0</v>
      </c>
      <c r="R2234" s="657">
        <v>0</v>
      </c>
      <c r="S2234" s="657">
        <v>47452</v>
      </c>
      <c r="T2234" s="657">
        <v>47452</v>
      </c>
      <c r="U2234" s="657">
        <v>5366</v>
      </c>
      <c r="V2234" s="655">
        <v>2021</v>
      </c>
      <c r="W2234" s="659"/>
      <c r="X2234" s="660">
        <f t="shared" si="104"/>
        <v>8.8430860976518826</v>
      </c>
      <c r="Y2234" s="661" t="str">
        <f t="shared" si="102"/>
        <v/>
      </c>
      <c r="Z2234" s="661" t="str">
        <f t="shared" si="103"/>
        <v/>
      </c>
    </row>
    <row r="2235" spans="1:26" s="128" customFormat="1">
      <c r="A2235" s="655">
        <v>64419</v>
      </c>
      <c r="B2235" s="656" t="s">
        <v>33</v>
      </c>
      <c r="C2235" s="655" t="s">
        <v>2793</v>
      </c>
      <c r="D2235" s="656" t="s">
        <v>3314</v>
      </c>
      <c r="E2235" s="656" t="s">
        <v>3315</v>
      </c>
      <c r="F2235" s="655">
        <v>64067</v>
      </c>
      <c r="G2235" s="656" t="s">
        <v>81</v>
      </c>
      <c r="H2235" s="656" t="s">
        <v>1183</v>
      </c>
      <c r="I2235" s="656" t="s">
        <v>58</v>
      </c>
      <c r="J2235" s="655">
        <v>22</v>
      </c>
      <c r="K2235" s="655">
        <v>2</v>
      </c>
      <c r="L2235" s="656" t="s">
        <v>52</v>
      </c>
      <c r="M2235" s="656" t="s">
        <v>448</v>
      </c>
      <c r="N2235" s="656" t="s">
        <v>449</v>
      </c>
      <c r="O2235" s="656" t="s">
        <v>449</v>
      </c>
      <c r="P2235" s="656" t="s">
        <v>1176</v>
      </c>
      <c r="Q2235" s="657">
        <v>0</v>
      </c>
      <c r="R2235" s="657">
        <v>0</v>
      </c>
      <c r="S2235" s="657">
        <v>66402</v>
      </c>
      <c r="T2235" s="657">
        <v>66402</v>
      </c>
      <c r="U2235" s="657">
        <v>7509</v>
      </c>
      <c r="V2235" s="655">
        <v>2021</v>
      </c>
      <c r="W2235" s="659"/>
      <c r="X2235" s="660">
        <f t="shared" si="104"/>
        <v>8.8429884139033152</v>
      </c>
      <c r="Y2235" s="661" t="str">
        <f t="shared" si="102"/>
        <v/>
      </c>
      <c r="Z2235" s="661" t="str">
        <f t="shared" si="103"/>
        <v/>
      </c>
    </row>
    <row r="2236" spans="1:26" s="128" customFormat="1" ht="25" hidden="1">
      <c r="A2236" s="655">
        <v>64421</v>
      </c>
      <c r="B2236" s="656" t="s">
        <v>33</v>
      </c>
      <c r="C2236" s="655" t="s">
        <v>2793</v>
      </c>
      <c r="D2236" s="656" t="s">
        <v>3316</v>
      </c>
      <c r="E2236" s="656" t="s">
        <v>2934</v>
      </c>
      <c r="F2236" s="655">
        <v>62719</v>
      </c>
      <c r="G2236" s="656" t="s">
        <v>57</v>
      </c>
      <c r="H2236" s="656" t="s">
        <v>1182</v>
      </c>
      <c r="I2236" s="656" t="s">
        <v>58</v>
      </c>
      <c r="J2236" s="655">
        <v>22</v>
      </c>
      <c r="K2236" s="655">
        <v>2</v>
      </c>
      <c r="L2236" s="656" t="s">
        <v>52</v>
      </c>
      <c r="M2236" s="656" t="s">
        <v>448</v>
      </c>
      <c r="N2236" s="656" t="s">
        <v>449</v>
      </c>
      <c r="O2236" s="656" t="s">
        <v>449</v>
      </c>
      <c r="P2236" s="656" t="s">
        <v>1176</v>
      </c>
      <c r="Q2236" s="657">
        <v>0</v>
      </c>
      <c r="R2236" s="657">
        <v>0</v>
      </c>
      <c r="S2236" s="657">
        <v>27076</v>
      </c>
      <c r="T2236" s="657">
        <v>27076</v>
      </c>
      <c r="U2236" s="657">
        <v>3062</v>
      </c>
      <c r="V2236" s="655">
        <v>2021</v>
      </c>
      <c r="W2236" s="659"/>
      <c r="X2236" s="660">
        <f t="shared" si="104"/>
        <v>8.842586544741998</v>
      </c>
      <c r="Y2236" s="661" t="str">
        <f t="shared" si="102"/>
        <v/>
      </c>
      <c r="Z2236" s="661" t="str">
        <f t="shared" si="103"/>
        <v/>
      </c>
    </row>
    <row r="2237" spans="1:26" s="128" customFormat="1" ht="25">
      <c r="A2237" s="655">
        <v>64432</v>
      </c>
      <c r="B2237" s="656" t="s">
        <v>33</v>
      </c>
      <c r="C2237" s="655" t="s">
        <v>2793</v>
      </c>
      <c r="D2237" s="656" t="s">
        <v>3317</v>
      </c>
      <c r="E2237" s="656" t="s">
        <v>3318</v>
      </c>
      <c r="F2237" s="655">
        <v>64069</v>
      </c>
      <c r="G2237" s="656" t="s">
        <v>81</v>
      </c>
      <c r="H2237" s="656" t="s">
        <v>1183</v>
      </c>
      <c r="I2237" s="656" t="s">
        <v>58</v>
      </c>
      <c r="J2237" s="655">
        <v>22</v>
      </c>
      <c r="K2237" s="655">
        <v>2</v>
      </c>
      <c r="L2237" s="656" t="s">
        <v>52</v>
      </c>
      <c r="M2237" s="656" t="s">
        <v>1890</v>
      </c>
      <c r="N2237" s="656" t="s">
        <v>1052</v>
      </c>
      <c r="O2237" s="656" t="s">
        <v>82</v>
      </c>
      <c r="P2237" s="656" t="s">
        <v>2794</v>
      </c>
      <c r="Q2237" s="657">
        <v>0</v>
      </c>
      <c r="R2237" s="657">
        <v>0</v>
      </c>
      <c r="S2237" s="657">
        <v>0</v>
      </c>
      <c r="T2237" s="657">
        <v>0</v>
      </c>
      <c r="U2237" s="657">
        <v>0</v>
      </c>
      <c r="V2237" s="655">
        <v>2021</v>
      </c>
      <c r="W2237" s="659"/>
      <c r="X2237" s="660" t="str">
        <f t="shared" si="104"/>
        <v/>
      </c>
      <c r="Y2237" s="661" t="str">
        <f t="shared" si="102"/>
        <v/>
      </c>
      <c r="Z2237" s="661" t="str">
        <f t="shared" si="103"/>
        <v/>
      </c>
    </row>
    <row r="2238" spans="1:26" s="128" customFormat="1" ht="25">
      <c r="A2238" s="655">
        <v>64432</v>
      </c>
      <c r="B2238" s="656" t="s">
        <v>33</v>
      </c>
      <c r="C2238" s="655" t="s">
        <v>2793</v>
      </c>
      <c r="D2238" s="656" t="s">
        <v>3317</v>
      </c>
      <c r="E2238" s="656" t="s">
        <v>3318</v>
      </c>
      <c r="F2238" s="655">
        <v>64069</v>
      </c>
      <c r="G2238" s="656" t="s">
        <v>81</v>
      </c>
      <c r="H2238" s="656" t="s">
        <v>1183</v>
      </c>
      <c r="I2238" s="656" t="s">
        <v>58</v>
      </c>
      <c r="J2238" s="655">
        <v>22</v>
      </c>
      <c r="K2238" s="655">
        <v>2</v>
      </c>
      <c r="L2238" s="656" t="s">
        <v>52</v>
      </c>
      <c r="M2238" s="656" t="s">
        <v>448</v>
      </c>
      <c r="N2238" s="656" t="s">
        <v>449</v>
      </c>
      <c r="O2238" s="656" t="s">
        <v>449</v>
      </c>
      <c r="P2238" s="656" t="s">
        <v>1176</v>
      </c>
      <c r="Q2238" s="657">
        <v>0</v>
      </c>
      <c r="R2238" s="657">
        <v>0</v>
      </c>
      <c r="S2238" s="657">
        <v>7774</v>
      </c>
      <c r="T2238" s="657">
        <v>7774</v>
      </c>
      <c r="U2238" s="657">
        <v>879</v>
      </c>
      <c r="V2238" s="655">
        <v>2021</v>
      </c>
      <c r="W2238" s="659"/>
      <c r="X2238" s="660">
        <f t="shared" si="104"/>
        <v>8.8441410693970415</v>
      </c>
      <c r="Y2238" s="661" t="str">
        <f t="shared" si="102"/>
        <v/>
      </c>
      <c r="Z2238" s="661" t="str">
        <f t="shared" si="103"/>
        <v/>
      </c>
    </row>
    <row r="2239" spans="1:26" s="128" customFormat="1">
      <c r="A2239" s="655">
        <v>64434</v>
      </c>
      <c r="B2239" s="656" t="s">
        <v>33</v>
      </c>
      <c r="C2239" s="655" t="s">
        <v>2793</v>
      </c>
      <c r="D2239" s="656" t="s">
        <v>3319</v>
      </c>
      <c r="E2239" s="656" t="s">
        <v>3320</v>
      </c>
      <c r="F2239" s="655">
        <v>64071</v>
      </c>
      <c r="G2239" s="656" t="s">
        <v>81</v>
      </c>
      <c r="H2239" s="656" t="s">
        <v>1183</v>
      </c>
      <c r="I2239" s="656" t="s">
        <v>58</v>
      </c>
      <c r="J2239" s="655">
        <v>22</v>
      </c>
      <c r="K2239" s="655">
        <v>2</v>
      </c>
      <c r="L2239" s="656" t="s">
        <v>52</v>
      </c>
      <c r="M2239" s="656" t="s">
        <v>448</v>
      </c>
      <c r="N2239" s="656" t="s">
        <v>449</v>
      </c>
      <c r="O2239" s="656" t="s">
        <v>449</v>
      </c>
      <c r="P2239" s="656" t="s">
        <v>1176</v>
      </c>
      <c r="Q2239" s="657">
        <v>0</v>
      </c>
      <c r="R2239" s="657">
        <v>0</v>
      </c>
      <c r="S2239" s="657">
        <v>48354</v>
      </c>
      <c r="T2239" s="657">
        <v>48354</v>
      </c>
      <c r="U2239" s="657">
        <v>5468</v>
      </c>
      <c r="V2239" s="655">
        <v>2021</v>
      </c>
      <c r="W2239" s="659"/>
      <c r="X2239" s="660">
        <f t="shared" si="104"/>
        <v>8.8430870519385518</v>
      </c>
      <c r="Y2239" s="661" t="str">
        <f t="shared" si="102"/>
        <v/>
      </c>
      <c r="Z2239" s="661" t="str">
        <f t="shared" si="103"/>
        <v/>
      </c>
    </row>
    <row r="2240" spans="1:26" s="128" customFormat="1" ht="25">
      <c r="A2240" s="655">
        <v>64435</v>
      </c>
      <c r="B2240" s="656" t="s">
        <v>33</v>
      </c>
      <c r="C2240" s="655" t="s">
        <v>2793</v>
      </c>
      <c r="D2240" s="656" t="s">
        <v>3468</v>
      </c>
      <c r="E2240" s="656" t="s">
        <v>3469</v>
      </c>
      <c r="F2240" s="655">
        <v>64072</v>
      </c>
      <c r="G2240" s="656" t="s">
        <v>81</v>
      </c>
      <c r="H2240" s="656" t="s">
        <v>1183</v>
      </c>
      <c r="I2240" s="656" t="s">
        <v>58</v>
      </c>
      <c r="J2240" s="655">
        <v>22</v>
      </c>
      <c r="K2240" s="655">
        <v>2</v>
      </c>
      <c r="L2240" s="656" t="s">
        <v>52</v>
      </c>
      <c r="M2240" s="656" t="s">
        <v>448</v>
      </c>
      <c r="N2240" s="656" t="s">
        <v>449</v>
      </c>
      <c r="O2240" s="656" t="s">
        <v>449</v>
      </c>
      <c r="P2240" s="656" t="s">
        <v>1176</v>
      </c>
      <c r="Q2240" s="657">
        <v>0</v>
      </c>
      <c r="R2240" s="657">
        <v>0</v>
      </c>
      <c r="S2240" s="657">
        <v>21206</v>
      </c>
      <c r="T2240" s="657">
        <v>21206</v>
      </c>
      <c r="U2240" s="657">
        <v>2398</v>
      </c>
      <c r="V2240" s="655">
        <v>2021</v>
      </c>
      <c r="W2240" s="659"/>
      <c r="X2240" s="660">
        <f t="shared" si="104"/>
        <v>8.8432026688907417</v>
      </c>
      <c r="Y2240" s="661" t="str">
        <f t="shared" si="102"/>
        <v/>
      </c>
      <c r="Z2240" s="661" t="str">
        <f t="shared" si="103"/>
        <v/>
      </c>
    </row>
    <row r="2241" spans="1:26" s="128" customFormat="1" ht="25">
      <c r="A2241" s="655">
        <v>64436</v>
      </c>
      <c r="B2241" s="656" t="s">
        <v>33</v>
      </c>
      <c r="C2241" s="655" t="s">
        <v>2793</v>
      </c>
      <c r="D2241" s="656" t="s">
        <v>3321</v>
      </c>
      <c r="E2241" s="656" t="s">
        <v>3322</v>
      </c>
      <c r="F2241" s="655">
        <v>64073</v>
      </c>
      <c r="G2241" s="656" t="s">
        <v>81</v>
      </c>
      <c r="H2241" s="656" t="s">
        <v>1183</v>
      </c>
      <c r="I2241" s="656" t="s">
        <v>58</v>
      </c>
      <c r="J2241" s="655">
        <v>22</v>
      </c>
      <c r="K2241" s="655">
        <v>2</v>
      </c>
      <c r="L2241" s="656" t="s">
        <v>52</v>
      </c>
      <c r="M2241" s="656" t="s">
        <v>1890</v>
      </c>
      <c r="N2241" s="656" t="s">
        <v>1052</v>
      </c>
      <c r="O2241" s="656" t="s">
        <v>82</v>
      </c>
      <c r="P2241" s="656" t="s">
        <v>2794</v>
      </c>
      <c r="Q2241" s="657">
        <v>0</v>
      </c>
      <c r="R2241" s="657">
        <v>0</v>
      </c>
      <c r="S2241" s="657">
        <v>0</v>
      </c>
      <c r="T2241" s="657">
        <v>0</v>
      </c>
      <c r="U2241" s="657">
        <v>0</v>
      </c>
      <c r="V2241" s="655">
        <v>2021</v>
      </c>
      <c r="W2241" s="659"/>
      <c r="X2241" s="660" t="str">
        <f t="shared" si="104"/>
        <v/>
      </c>
      <c r="Y2241" s="661" t="str">
        <f t="shared" si="102"/>
        <v/>
      </c>
      <c r="Z2241" s="661" t="str">
        <f t="shared" si="103"/>
        <v/>
      </c>
    </row>
    <row r="2242" spans="1:26" s="128" customFormat="1">
      <c r="A2242" s="655">
        <v>64436</v>
      </c>
      <c r="B2242" s="656" t="s">
        <v>33</v>
      </c>
      <c r="C2242" s="655" t="s">
        <v>2793</v>
      </c>
      <c r="D2242" s="656" t="s">
        <v>3321</v>
      </c>
      <c r="E2242" s="656" t="s">
        <v>3322</v>
      </c>
      <c r="F2242" s="655">
        <v>64073</v>
      </c>
      <c r="G2242" s="656" t="s">
        <v>81</v>
      </c>
      <c r="H2242" s="656" t="s">
        <v>1183</v>
      </c>
      <c r="I2242" s="656" t="s">
        <v>58</v>
      </c>
      <c r="J2242" s="655">
        <v>22</v>
      </c>
      <c r="K2242" s="655">
        <v>2</v>
      </c>
      <c r="L2242" s="656" t="s">
        <v>52</v>
      </c>
      <c r="M2242" s="656" t="s">
        <v>448</v>
      </c>
      <c r="N2242" s="656" t="s">
        <v>449</v>
      </c>
      <c r="O2242" s="656" t="s">
        <v>449</v>
      </c>
      <c r="P2242" s="656" t="s">
        <v>1176</v>
      </c>
      <c r="Q2242" s="657">
        <v>0</v>
      </c>
      <c r="R2242" s="657">
        <v>0</v>
      </c>
      <c r="S2242" s="657">
        <v>76616</v>
      </c>
      <c r="T2242" s="657">
        <v>76616</v>
      </c>
      <c r="U2242" s="657">
        <v>8664</v>
      </c>
      <c r="V2242" s="655">
        <v>2021</v>
      </c>
      <c r="W2242" s="659"/>
      <c r="X2242" s="660">
        <f t="shared" si="104"/>
        <v>8.8430286241920584</v>
      </c>
      <c r="Y2242" s="661" t="str">
        <f t="shared" si="102"/>
        <v/>
      </c>
      <c r="Z2242" s="661" t="str">
        <f t="shared" si="103"/>
        <v/>
      </c>
    </row>
    <row r="2243" spans="1:26" s="128" customFormat="1">
      <c r="A2243" s="655">
        <v>64437</v>
      </c>
      <c r="B2243" s="656" t="s">
        <v>33</v>
      </c>
      <c r="C2243" s="655" t="s">
        <v>2793</v>
      </c>
      <c r="D2243" s="656" t="s">
        <v>3470</v>
      </c>
      <c r="E2243" s="656" t="s">
        <v>3471</v>
      </c>
      <c r="F2243" s="655">
        <v>64070</v>
      </c>
      <c r="G2243" s="656" t="s">
        <v>81</v>
      </c>
      <c r="H2243" s="656" t="s">
        <v>1183</v>
      </c>
      <c r="I2243" s="656" t="s">
        <v>58</v>
      </c>
      <c r="J2243" s="655">
        <v>22</v>
      </c>
      <c r="K2243" s="655">
        <v>2</v>
      </c>
      <c r="L2243" s="656" t="s">
        <v>52</v>
      </c>
      <c r="M2243" s="656" t="s">
        <v>448</v>
      </c>
      <c r="N2243" s="656" t="s">
        <v>449</v>
      </c>
      <c r="O2243" s="656" t="s">
        <v>449</v>
      </c>
      <c r="P2243" s="656" t="s">
        <v>1176</v>
      </c>
      <c r="Q2243" s="657">
        <v>0</v>
      </c>
      <c r="R2243" s="657">
        <v>0</v>
      </c>
      <c r="S2243" s="657">
        <v>36574</v>
      </c>
      <c r="T2243" s="657">
        <v>36574</v>
      </c>
      <c r="U2243" s="657">
        <v>4136</v>
      </c>
      <c r="V2243" s="655">
        <v>2021</v>
      </c>
      <c r="W2243" s="659"/>
      <c r="X2243" s="660">
        <f t="shared" si="104"/>
        <v>8.8428433268858804</v>
      </c>
      <c r="Y2243" s="661" t="str">
        <f t="shared" si="102"/>
        <v/>
      </c>
      <c r="Z2243" s="661" t="str">
        <f t="shared" si="103"/>
        <v/>
      </c>
    </row>
    <row r="2244" spans="1:26" s="128" customFormat="1" hidden="1">
      <c r="A2244" s="655">
        <v>64443</v>
      </c>
      <c r="B2244" s="656" t="s">
        <v>33</v>
      </c>
      <c r="C2244" s="655" t="s">
        <v>2793</v>
      </c>
      <c r="D2244" s="656" t="s">
        <v>3472</v>
      </c>
      <c r="E2244" s="656" t="s">
        <v>3473</v>
      </c>
      <c r="F2244" s="655">
        <v>62627</v>
      </c>
      <c r="G2244" s="656" t="s">
        <v>89</v>
      </c>
      <c r="H2244" s="656" t="s">
        <v>1183</v>
      </c>
      <c r="I2244" s="656" t="s">
        <v>58</v>
      </c>
      <c r="J2244" s="655">
        <v>22</v>
      </c>
      <c r="K2244" s="655">
        <v>2</v>
      </c>
      <c r="L2244" s="656" t="s">
        <v>52</v>
      </c>
      <c r="M2244" s="656" t="s">
        <v>448</v>
      </c>
      <c r="N2244" s="656" t="s">
        <v>449</v>
      </c>
      <c r="O2244" s="656" t="s">
        <v>449</v>
      </c>
      <c r="P2244" s="656" t="s">
        <v>1176</v>
      </c>
      <c r="Q2244" s="657">
        <v>0</v>
      </c>
      <c r="R2244" s="657">
        <v>0</v>
      </c>
      <c r="S2244" s="657">
        <v>2935</v>
      </c>
      <c r="T2244" s="657">
        <v>2935</v>
      </c>
      <c r="U2244" s="657">
        <v>332</v>
      </c>
      <c r="V2244" s="655">
        <v>2021</v>
      </c>
      <c r="W2244" s="659"/>
      <c r="X2244" s="660">
        <f t="shared" si="104"/>
        <v>8.8403614457831328</v>
      </c>
      <c r="Y2244" s="661" t="str">
        <f t="shared" si="102"/>
        <v/>
      </c>
      <c r="Z2244" s="661" t="str">
        <f t="shared" si="103"/>
        <v/>
      </c>
    </row>
    <row r="2245" spans="1:26" s="128" customFormat="1" ht="25" hidden="1">
      <c r="A2245" s="655">
        <v>64445</v>
      </c>
      <c r="B2245" s="656" t="s">
        <v>33</v>
      </c>
      <c r="C2245" s="655" t="s">
        <v>2793</v>
      </c>
      <c r="D2245" s="656" t="s">
        <v>3323</v>
      </c>
      <c r="E2245" s="656" t="s">
        <v>1922</v>
      </c>
      <c r="F2245" s="655">
        <v>60947</v>
      </c>
      <c r="G2245" s="656" t="s">
        <v>57</v>
      </c>
      <c r="H2245" s="656" t="s">
        <v>1182</v>
      </c>
      <c r="I2245" s="656" t="s">
        <v>58</v>
      </c>
      <c r="J2245" s="655">
        <v>22</v>
      </c>
      <c r="K2245" s="655">
        <v>2</v>
      </c>
      <c r="L2245" s="656" t="s">
        <v>52</v>
      </c>
      <c r="M2245" s="656" t="s">
        <v>448</v>
      </c>
      <c r="N2245" s="656" t="s">
        <v>449</v>
      </c>
      <c r="O2245" s="656" t="s">
        <v>449</v>
      </c>
      <c r="P2245" s="656" t="s">
        <v>1176</v>
      </c>
      <c r="Q2245" s="657">
        <v>0</v>
      </c>
      <c r="R2245" s="657">
        <v>0</v>
      </c>
      <c r="S2245" s="657">
        <v>26805</v>
      </c>
      <c r="T2245" s="657">
        <v>26805</v>
      </c>
      <c r="U2245" s="657">
        <v>3031</v>
      </c>
      <c r="V2245" s="655">
        <v>2021</v>
      </c>
      <c r="W2245" s="659"/>
      <c r="X2245" s="660">
        <f t="shared" si="104"/>
        <v>8.8436159683272848</v>
      </c>
      <c r="Y2245" s="661" t="str">
        <f t="shared" si="102"/>
        <v/>
      </c>
      <c r="Z2245" s="661" t="str">
        <f t="shared" si="103"/>
        <v/>
      </c>
    </row>
    <row r="2246" spans="1:26" s="128" customFormat="1" ht="25" hidden="1">
      <c r="A2246" s="655">
        <v>64451</v>
      </c>
      <c r="B2246" s="656" t="s">
        <v>33</v>
      </c>
      <c r="C2246" s="655" t="s">
        <v>2793</v>
      </c>
      <c r="D2246" s="656" t="s">
        <v>3474</v>
      </c>
      <c r="E2246" s="656" t="s">
        <v>2418</v>
      </c>
      <c r="F2246" s="655">
        <v>61610</v>
      </c>
      <c r="G2246" s="656" t="s">
        <v>57</v>
      </c>
      <c r="H2246" s="656" t="s">
        <v>1182</v>
      </c>
      <c r="I2246" s="656" t="s">
        <v>58</v>
      </c>
      <c r="J2246" s="655">
        <v>22</v>
      </c>
      <c r="K2246" s="655">
        <v>2</v>
      </c>
      <c r="L2246" s="656" t="s">
        <v>52</v>
      </c>
      <c r="M2246" s="656" t="s">
        <v>448</v>
      </c>
      <c r="N2246" s="656" t="s">
        <v>449</v>
      </c>
      <c r="O2246" s="656" t="s">
        <v>449</v>
      </c>
      <c r="P2246" s="656" t="s">
        <v>1176</v>
      </c>
      <c r="Q2246" s="657">
        <v>0</v>
      </c>
      <c r="R2246" s="657">
        <v>0</v>
      </c>
      <c r="S2246" s="657">
        <v>27203</v>
      </c>
      <c r="T2246" s="657">
        <v>27203</v>
      </c>
      <c r="U2246" s="657">
        <v>3076</v>
      </c>
      <c r="V2246" s="655">
        <v>2021</v>
      </c>
      <c r="W2246" s="659"/>
      <c r="X2246" s="660">
        <f t="shared" si="104"/>
        <v>8.8436280884265273</v>
      </c>
      <c r="Y2246" s="661" t="str">
        <f t="shared" si="102"/>
        <v/>
      </c>
      <c r="Z2246" s="661" t="str">
        <f t="shared" si="103"/>
        <v/>
      </c>
    </row>
    <row r="2247" spans="1:26" s="128" customFormat="1" ht="25" hidden="1">
      <c r="A2247" s="655">
        <v>64453</v>
      </c>
      <c r="B2247" s="656" t="s">
        <v>33</v>
      </c>
      <c r="C2247" s="655" t="s">
        <v>2793</v>
      </c>
      <c r="D2247" s="656" t="s">
        <v>3475</v>
      </c>
      <c r="E2247" s="656" t="s">
        <v>3460</v>
      </c>
      <c r="F2247" s="655">
        <v>63991</v>
      </c>
      <c r="G2247" s="656" t="s">
        <v>57</v>
      </c>
      <c r="H2247" s="656" t="s">
        <v>1182</v>
      </c>
      <c r="I2247" s="656" t="s">
        <v>58</v>
      </c>
      <c r="J2247" s="655">
        <v>22</v>
      </c>
      <c r="K2247" s="655">
        <v>2</v>
      </c>
      <c r="L2247" s="656" t="s">
        <v>52</v>
      </c>
      <c r="M2247" s="656" t="s">
        <v>1890</v>
      </c>
      <c r="N2247" s="656" t="s">
        <v>1052</v>
      </c>
      <c r="O2247" s="656" t="s">
        <v>82</v>
      </c>
      <c r="P2247" s="656" t="s">
        <v>2794</v>
      </c>
      <c r="Q2247" s="657">
        <v>0</v>
      </c>
      <c r="R2247" s="657">
        <v>0</v>
      </c>
      <c r="S2247" s="657">
        <v>0</v>
      </c>
      <c r="T2247" s="657">
        <v>0</v>
      </c>
      <c r="U2247" s="657">
        <v>0</v>
      </c>
      <c r="V2247" s="655">
        <v>2021</v>
      </c>
      <c r="W2247" s="659"/>
      <c r="X2247" s="660" t="str">
        <f t="shared" si="104"/>
        <v/>
      </c>
      <c r="Y2247" s="661" t="str">
        <f t="shared" ref="Y2247:Y2310" si="105">IF(AND($M2247=$Y$2,$N2247=$Y$3,NOT($Q2247=$R2247),NOT($U2247=0)),IF($K2247=5,$S2247/($U2247+(8/5)*$U2247),IF($K2247=7,$S2247/($U2247+(29/25)*$U2247),"")),"")</f>
        <v/>
      </c>
      <c r="Z2247" s="661" t="str">
        <f t="shared" ref="Z2247:Z2310" si="106">IF(AND($M2247=$Y$2,$N2247=$Y$4,NOT($Q2247=$R2247),NOT($U2247=0)),IF($K2247=5,$S2247/($U2247+(8/5)*$U2247),IF($K2247=7,$S2247/($U2247+(29/25)*$U2247),"")),"")</f>
        <v/>
      </c>
    </row>
    <row r="2248" spans="1:26" s="128" customFormat="1" hidden="1">
      <c r="A2248" s="655">
        <v>64453</v>
      </c>
      <c r="B2248" s="656" t="s">
        <v>33</v>
      </c>
      <c r="C2248" s="655" t="s">
        <v>2793</v>
      </c>
      <c r="D2248" s="656" t="s">
        <v>3475</v>
      </c>
      <c r="E2248" s="656" t="s">
        <v>3460</v>
      </c>
      <c r="F2248" s="655">
        <v>63991</v>
      </c>
      <c r="G2248" s="656" t="s">
        <v>57</v>
      </c>
      <c r="H2248" s="656" t="s">
        <v>1182</v>
      </c>
      <c r="I2248" s="656" t="s">
        <v>58</v>
      </c>
      <c r="J2248" s="655">
        <v>22</v>
      </c>
      <c r="K2248" s="655">
        <v>2</v>
      </c>
      <c r="L2248" s="656" t="s">
        <v>52</v>
      </c>
      <c r="M2248" s="656" t="s">
        <v>448</v>
      </c>
      <c r="N2248" s="656" t="s">
        <v>449</v>
      </c>
      <c r="O2248" s="656" t="s">
        <v>449</v>
      </c>
      <c r="P2248" s="656" t="s">
        <v>1176</v>
      </c>
      <c r="Q2248" s="657">
        <v>0</v>
      </c>
      <c r="R2248" s="657">
        <v>0</v>
      </c>
      <c r="S2248" s="657">
        <v>2441</v>
      </c>
      <c r="T2248" s="657">
        <v>2441</v>
      </c>
      <c r="U2248" s="657">
        <v>276</v>
      </c>
      <c r="V2248" s="655">
        <v>2021</v>
      </c>
      <c r="W2248" s="659"/>
      <c r="X2248" s="660">
        <f t="shared" ref="X2248:X2311" si="107">IF(OR(K2248&gt;3,T2248=0,NOT(U2248&gt;0)),"",T2248/U2248)</f>
        <v>8.8442028985507246</v>
      </c>
      <c r="Y2248" s="661" t="str">
        <f t="shared" si="105"/>
        <v/>
      </c>
      <c r="Z2248" s="661" t="str">
        <f t="shared" si="106"/>
        <v/>
      </c>
    </row>
    <row r="2249" spans="1:26" s="128" customFormat="1" ht="25" hidden="1">
      <c r="A2249" s="655">
        <v>64454</v>
      </c>
      <c r="B2249" s="656" t="s">
        <v>33</v>
      </c>
      <c r="C2249" s="655" t="s">
        <v>2793</v>
      </c>
      <c r="D2249" s="656" t="s">
        <v>3324</v>
      </c>
      <c r="E2249" s="656" t="s">
        <v>3325</v>
      </c>
      <c r="F2249" s="655">
        <v>64119</v>
      </c>
      <c r="G2249" s="656" t="s">
        <v>96</v>
      </c>
      <c r="H2249" s="656" t="s">
        <v>1183</v>
      </c>
      <c r="I2249" s="656" t="s">
        <v>58</v>
      </c>
      <c r="J2249" s="655">
        <v>22</v>
      </c>
      <c r="K2249" s="655">
        <v>2</v>
      </c>
      <c r="L2249" s="656" t="s">
        <v>52</v>
      </c>
      <c r="M2249" s="656" t="s">
        <v>448</v>
      </c>
      <c r="N2249" s="656" t="s">
        <v>449</v>
      </c>
      <c r="O2249" s="656" t="s">
        <v>449</v>
      </c>
      <c r="P2249" s="656" t="s">
        <v>1176</v>
      </c>
      <c r="Q2249" s="657">
        <v>0</v>
      </c>
      <c r="R2249" s="657">
        <v>0</v>
      </c>
      <c r="S2249" s="657">
        <v>32587</v>
      </c>
      <c r="T2249" s="657">
        <v>32587</v>
      </c>
      <c r="U2249" s="657">
        <v>3685</v>
      </c>
      <c r="V2249" s="655">
        <v>2021</v>
      </c>
      <c r="W2249" s="659"/>
      <c r="X2249" s="660">
        <f t="shared" si="107"/>
        <v>8.8431478968792394</v>
      </c>
      <c r="Y2249" s="661" t="str">
        <f t="shared" si="105"/>
        <v/>
      </c>
      <c r="Z2249" s="661" t="str">
        <f t="shared" si="106"/>
        <v/>
      </c>
    </row>
    <row r="2250" spans="1:26" s="128" customFormat="1" ht="25" hidden="1">
      <c r="A2250" s="655">
        <v>64515</v>
      </c>
      <c r="B2250" s="656" t="s">
        <v>33</v>
      </c>
      <c r="C2250" s="655" t="s">
        <v>2793</v>
      </c>
      <c r="D2250" s="656" t="s">
        <v>3326</v>
      </c>
      <c r="E2250" s="656" t="s">
        <v>3327</v>
      </c>
      <c r="F2250" s="655">
        <v>64153</v>
      </c>
      <c r="G2250" s="656" t="s">
        <v>41</v>
      </c>
      <c r="H2250" s="656" t="s">
        <v>1183</v>
      </c>
      <c r="I2250" s="656" t="s">
        <v>58</v>
      </c>
      <c r="J2250" s="655">
        <v>622</v>
      </c>
      <c r="K2250" s="655">
        <v>4</v>
      </c>
      <c r="L2250" s="656" t="s">
        <v>412</v>
      </c>
      <c r="M2250" s="656" t="s">
        <v>51</v>
      </c>
      <c r="N2250" s="656" t="s">
        <v>46</v>
      </c>
      <c r="O2250" s="656" t="s">
        <v>46</v>
      </c>
      <c r="P2250" s="656" t="s">
        <v>47</v>
      </c>
      <c r="Q2250" s="657">
        <v>128</v>
      </c>
      <c r="R2250" s="657">
        <v>128</v>
      </c>
      <c r="S2250" s="657">
        <v>741</v>
      </c>
      <c r="T2250" s="657">
        <v>741</v>
      </c>
      <c r="U2250" s="657">
        <v>77</v>
      </c>
      <c r="V2250" s="655">
        <v>2021</v>
      </c>
      <c r="W2250" s="659"/>
      <c r="X2250" s="660" t="str">
        <f t="shared" si="107"/>
        <v/>
      </c>
      <c r="Y2250" s="661" t="str">
        <f t="shared" si="105"/>
        <v/>
      </c>
      <c r="Z2250" s="661" t="str">
        <f t="shared" si="106"/>
        <v/>
      </c>
    </row>
    <row r="2251" spans="1:26" s="128" customFormat="1" hidden="1">
      <c r="A2251" s="655">
        <v>64525</v>
      </c>
      <c r="B2251" s="656" t="s">
        <v>33</v>
      </c>
      <c r="C2251" s="655" t="s">
        <v>2793</v>
      </c>
      <c r="D2251" s="656" t="s">
        <v>3328</v>
      </c>
      <c r="E2251" s="656" t="s">
        <v>3195</v>
      </c>
      <c r="F2251" s="655">
        <v>62923</v>
      </c>
      <c r="G2251" s="656" t="s">
        <v>57</v>
      </c>
      <c r="H2251" s="656" t="s">
        <v>1182</v>
      </c>
      <c r="I2251" s="656" t="s">
        <v>58</v>
      </c>
      <c r="J2251" s="655">
        <v>22</v>
      </c>
      <c r="K2251" s="655">
        <v>2</v>
      </c>
      <c r="L2251" s="656" t="s">
        <v>52</v>
      </c>
      <c r="M2251" s="656" t="s">
        <v>448</v>
      </c>
      <c r="N2251" s="656" t="s">
        <v>449</v>
      </c>
      <c r="O2251" s="656" t="s">
        <v>449</v>
      </c>
      <c r="P2251" s="656" t="s">
        <v>1176</v>
      </c>
      <c r="Q2251" s="657">
        <v>0</v>
      </c>
      <c r="R2251" s="657">
        <v>0</v>
      </c>
      <c r="S2251" s="657">
        <v>69312</v>
      </c>
      <c r="T2251" s="657">
        <v>69312</v>
      </c>
      <c r="U2251" s="657">
        <v>7838</v>
      </c>
      <c r="V2251" s="655">
        <v>2021</v>
      </c>
      <c r="W2251" s="659"/>
      <c r="X2251" s="660">
        <f t="shared" si="107"/>
        <v>8.8430722122990559</v>
      </c>
      <c r="Y2251" s="661" t="str">
        <f t="shared" si="105"/>
        <v/>
      </c>
      <c r="Z2251" s="661" t="str">
        <f t="shared" si="106"/>
        <v/>
      </c>
    </row>
    <row r="2252" spans="1:26" s="128" customFormat="1" ht="25">
      <c r="A2252" s="655">
        <v>64526</v>
      </c>
      <c r="B2252" s="656" t="s">
        <v>33</v>
      </c>
      <c r="C2252" s="655" t="s">
        <v>2793</v>
      </c>
      <c r="D2252" s="656" t="s">
        <v>3476</v>
      </c>
      <c r="E2252" s="656" t="s">
        <v>3477</v>
      </c>
      <c r="F2252" s="655">
        <v>62915</v>
      </c>
      <c r="G2252" s="656" t="s">
        <v>81</v>
      </c>
      <c r="H2252" s="656" t="s">
        <v>1183</v>
      </c>
      <c r="I2252" s="656" t="s">
        <v>58</v>
      </c>
      <c r="J2252" s="655">
        <v>22</v>
      </c>
      <c r="K2252" s="655">
        <v>2</v>
      </c>
      <c r="L2252" s="656" t="s">
        <v>52</v>
      </c>
      <c r="M2252" s="656" t="s">
        <v>448</v>
      </c>
      <c r="N2252" s="656" t="s">
        <v>449</v>
      </c>
      <c r="O2252" s="656" t="s">
        <v>449</v>
      </c>
      <c r="P2252" s="656" t="s">
        <v>1176</v>
      </c>
      <c r="Q2252" s="657">
        <v>0</v>
      </c>
      <c r="R2252" s="657">
        <v>0</v>
      </c>
      <c r="S2252" s="657">
        <v>30111</v>
      </c>
      <c r="T2252" s="657">
        <v>30111</v>
      </c>
      <c r="U2252" s="657">
        <v>3405</v>
      </c>
      <c r="V2252" s="655">
        <v>2021</v>
      </c>
      <c r="W2252" s="659"/>
      <c r="X2252" s="660">
        <f t="shared" si="107"/>
        <v>8.8431718061674012</v>
      </c>
      <c r="Y2252" s="661" t="str">
        <f t="shared" si="105"/>
        <v/>
      </c>
      <c r="Z2252" s="661" t="str">
        <f t="shared" si="106"/>
        <v/>
      </c>
    </row>
    <row r="2253" spans="1:26" s="128" customFormat="1" hidden="1">
      <c r="A2253" s="655">
        <v>64549</v>
      </c>
      <c r="B2253" s="656" t="s">
        <v>33</v>
      </c>
      <c r="C2253" s="655" t="s">
        <v>2793</v>
      </c>
      <c r="D2253" s="656" t="s">
        <v>3329</v>
      </c>
      <c r="E2253" s="656" t="s">
        <v>3330</v>
      </c>
      <c r="F2253" s="655">
        <v>64120</v>
      </c>
      <c r="G2253" s="656" t="s">
        <v>131</v>
      </c>
      <c r="H2253" s="656" t="s">
        <v>1183</v>
      </c>
      <c r="I2253" s="656" t="s">
        <v>58</v>
      </c>
      <c r="J2253" s="655">
        <v>22</v>
      </c>
      <c r="K2253" s="655">
        <v>2</v>
      </c>
      <c r="L2253" s="656" t="s">
        <v>52</v>
      </c>
      <c r="M2253" s="656" t="s">
        <v>448</v>
      </c>
      <c r="N2253" s="656" t="s">
        <v>449</v>
      </c>
      <c r="O2253" s="656" t="s">
        <v>449</v>
      </c>
      <c r="P2253" s="656" t="s">
        <v>1176</v>
      </c>
      <c r="Q2253" s="657">
        <v>0</v>
      </c>
      <c r="R2253" s="657">
        <v>0</v>
      </c>
      <c r="S2253" s="657">
        <v>38600</v>
      </c>
      <c r="T2253" s="657">
        <v>38600</v>
      </c>
      <c r="U2253" s="657">
        <v>4365</v>
      </c>
      <c r="V2253" s="655">
        <v>2021</v>
      </c>
      <c r="W2253" s="659"/>
      <c r="X2253" s="660">
        <f t="shared" si="107"/>
        <v>8.8430698739977096</v>
      </c>
      <c r="Y2253" s="661" t="str">
        <f t="shared" si="105"/>
        <v/>
      </c>
      <c r="Z2253" s="661" t="str">
        <f t="shared" si="106"/>
        <v/>
      </c>
    </row>
    <row r="2254" spans="1:26" s="128" customFormat="1" ht="25" hidden="1">
      <c r="A2254" s="655">
        <v>64554</v>
      </c>
      <c r="B2254" s="656" t="s">
        <v>33</v>
      </c>
      <c r="C2254" s="655" t="s">
        <v>2793</v>
      </c>
      <c r="D2254" s="656" t="s">
        <v>3478</v>
      </c>
      <c r="E2254" s="656" t="s">
        <v>2247</v>
      </c>
      <c r="F2254" s="655">
        <v>61227</v>
      </c>
      <c r="G2254" s="656" t="s">
        <v>57</v>
      </c>
      <c r="H2254" s="656" t="s">
        <v>1182</v>
      </c>
      <c r="I2254" s="656" t="s">
        <v>58</v>
      </c>
      <c r="J2254" s="655">
        <v>22</v>
      </c>
      <c r="K2254" s="655">
        <v>2</v>
      </c>
      <c r="L2254" s="656" t="s">
        <v>52</v>
      </c>
      <c r="M2254" s="656" t="s">
        <v>448</v>
      </c>
      <c r="N2254" s="656" t="s">
        <v>449</v>
      </c>
      <c r="O2254" s="656" t="s">
        <v>449</v>
      </c>
      <c r="P2254" s="656" t="s">
        <v>1176</v>
      </c>
      <c r="Q2254" s="657">
        <v>0</v>
      </c>
      <c r="R2254" s="657">
        <v>0</v>
      </c>
      <c r="S2254" s="657">
        <v>752</v>
      </c>
      <c r="T2254" s="657">
        <v>752</v>
      </c>
      <c r="U2254" s="657">
        <v>85</v>
      </c>
      <c r="V2254" s="655">
        <v>2021</v>
      </c>
      <c r="W2254" s="659"/>
      <c r="X2254" s="660">
        <f t="shared" si="107"/>
        <v>8.8470588235294123</v>
      </c>
      <c r="Y2254" s="661" t="str">
        <f t="shared" si="105"/>
        <v/>
      </c>
      <c r="Z2254" s="661" t="str">
        <f t="shared" si="106"/>
        <v/>
      </c>
    </row>
    <row r="2255" spans="1:26" s="128" customFormat="1" ht="25" hidden="1">
      <c r="A2255" s="655">
        <v>64555</v>
      </c>
      <c r="B2255" s="656" t="s">
        <v>33</v>
      </c>
      <c r="C2255" s="655" t="s">
        <v>2793</v>
      </c>
      <c r="D2255" s="656" t="s">
        <v>3479</v>
      </c>
      <c r="E2255" s="656" t="s">
        <v>2247</v>
      </c>
      <c r="F2255" s="655">
        <v>61227</v>
      </c>
      <c r="G2255" s="656" t="s">
        <v>57</v>
      </c>
      <c r="H2255" s="656" t="s">
        <v>1182</v>
      </c>
      <c r="I2255" s="656" t="s">
        <v>58</v>
      </c>
      <c r="J2255" s="655">
        <v>22</v>
      </c>
      <c r="K2255" s="655">
        <v>2</v>
      </c>
      <c r="L2255" s="656" t="s">
        <v>52</v>
      </c>
      <c r="M2255" s="656" t="s">
        <v>448</v>
      </c>
      <c r="N2255" s="656" t="s">
        <v>449</v>
      </c>
      <c r="O2255" s="656" t="s">
        <v>449</v>
      </c>
      <c r="P2255" s="656" t="s">
        <v>1176</v>
      </c>
      <c r="Q2255" s="657">
        <v>0</v>
      </c>
      <c r="R2255" s="657">
        <v>0</v>
      </c>
      <c r="S2255" s="657">
        <v>1035</v>
      </c>
      <c r="T2255" s="657">
        <v>1035</v>
      </c>
      <c r="U2255" s="657">
        <v>117</v>
      </c>
      <c r="V2255" s="655">
        <v>2021</v>
      </c>
      <c r="W2255" s="659"/>
      <c r="X2255" s="660">
        <f t="shared" si="107"/>
        <v>8.8461538461538467</v>
      </c>
      <c r="Y2255" s="661" t="str">
        <f t="shared" si="105"/>
        <v/>
      </c>
      <c r="Z2255" s="661" t="str">
        <f t="shared" si="106"/>
        <v/>
      </c>
    </row>
    <row r="2256" spans="1:26" s="128" customFormat="1" hidden="1">
      <c r="A2256" s="655">
        <v>64556</v>
      </c>
      <c r="B2256" s="656" t="s">
        <v>33</v>
      </c>
      <c r="C2256" s="655" t="s">
        <v>2793</v>
      </c>
      <c r="D2256" s="656" t="s">
        <v>3480</v>
      </c>
      <c r="E2256" s="656" t="s">
        <v>2247</v>
      </c>
      <c r="F2256" s="655">
        <v>61227</v>
      </c>
      <c r="G2256" s="656" t="s">
        <v>57</v>
      </c>
      <c r="H2256" s="656" t="s">
        <v>1182</v>
      </c>
      <c r="I2256" s="656" t="s">
        <v>58</v>
      </c>
      <c r="J2256" s="655">
        <v>22</v>
      </c>
      <c r="K2256" s="655">
        <v>2</v>
      </c>
      <c r="L2256" s="656" t="s">
        <v>52</v>
      </c>
      <c r="M2256" s="656" t="s">
        <v>448</v>
      </c>
      <c r="N2256" s="656" t="s">
        <v>449</v>
      </c>
      <c r="O2256" s="656" t="s">
        <v>449</v>
      </c>
      <c r="P2256" s="656" t="s">
        <v>1176</v>
      </c>
      <c r="Q2256" s="657">
        <v>0</v>
      </c>
      <c r="R2256" s="657">
        <v>0</v>
      </c>
      <c r="S2256" s="657">
        <v>442</v>
      </c>
      <c r="T2256" s="657">
        <v>442</v>
      </c>
      <c r="U2256" s="657">
        <v>50</v>
      </c>
      <c r="V2256" s="655">
        <v>2021</v>
      </c>
      <c r="W2256" s="659"/>
      <c r="X2256" s="660">
        <f t="shared" si="107"/>
        <v>8.84</v>
      </c>
      <c r="Y2256" s="661" t="str">
        <f t="shared" si="105"/>
        <v/>
      </c>
      <c r="Z2256" s="661" t="str">
        <f t="shared" si="106"/>
        <v/>
      </c>
    </row>
    <row r="2257" spans="1:26" s="128" customFormat="1" hidden="1">
      <c r="A2257" s="655">
        <v>64557</v>
      </c>
      <c r="B2257" s="656" t="s">
        <v>33</v>
      </c>
      <c r="C2257" s="655" t="s">
        <v>2793</v>
      </c>
      <c r="D2257" s="656" t="s">
        <v>3481</v>
      </c>
      <c r="E2257" s="656" t="s">
        <v>2247</v>
      </c>
      <c r="F2257" s="655">
        <v>61227</v>
      </c>
      <c r="G2257" s="656" t="s">
        <v>57</v>
      </c>
      <c r="H2257" s="656" t="s">
        <v>1182</v>
      </c>
      <c r="I2257" s="656" t="s">
        <v>58</v>
      </c>
      <c r="J2257" s="655">
        <v>22</v>
      </c>
      <c r="K2257" s="655">
        <v>2</v>
      </c>
      <c r="L2257" s="656" t="s">
        <v>52</v>
      </c>
      <c r="M2257" s="656" t="s">
        <v>448</v>
      </c>
      <c r="N2257" s="656" t="s">
        <v>449</v>
      </c>
      <c r="O2257" s="656" t="s">
        <v>449</v>
      </c>
      <c r="P2257" s="656" t="s">
        <v>1176</v>
      </c>
      <c r="Q2257" s="657">
        <v>0</v>
      </c>
      <c r="R2257" s="657">
        <v>0</v>
      </c>
      <c r="S2257" s="657">
        <v>80</v>
      </c>
      <c r="T2257" s="657">
        <v>80</v>
      </c>
      <c r="U2257" s="657">
        <v>9</v>
      </c>
      <c r="V2257" s="655">
        <v>2021</v>
      </c>
      <c r="W2257" s="659"/>
      <c r="X2257" s="660">
        <f t="shared" si="107"/>
        <v>8.8888888888888893</v>
      </c>
      <c r="Y2257" s="661" t="str">
        <f t="shared" si="105"/>
        <v/>
      </c>
      <c r="Z2257" s="661" t="str">
        <f t="shared" si="106"/>
        <v/>
      </c>
    </row>
    <row r="2258" spans="1:26" s="128" customFormat="1" ht="25" hidden="1">
      <c r="A2258" s="655">
        <v>64559</v>
      </c>
      <c r="B2258" s="656" t="s">
        <v>33</v>
      </c>
      <c r="C2258" s="655" t="s">
        <v>2793</v>
      </c>
      <c r="D2258" s="656" t="s">
        <v>3482</v>
      </c>
      <c r="E2258" s="656" t="s">
        <v>3483</v>
      </c>
      <c r="F2258" s="655">
        <v>64187</v>
      </c>
      <c r="G2258" s="656" t="s">
        <v>41</v>
      </c>
      <c r="H2258" s="656" t="s">
        <v>1183</v>
      </c>
      <c r="I2258" s="656" t="s">
        <v>58</v>
      </c>
      <c r="J2258" s="655">
        <v>22</v>
      </c>
      <c r="K2258" s="655">
        <v>2</v>
      </c>
      <c r="L2258" s="656" t="s">
        <v>52</v>
      </c>
      <c r="M2258" s="656" t="s">
        <v>448</v>
      </c>
      <c r="N2258" s="656" t="s">
        <v>449</v>
      </c>
      <c r="O2258" s="656" t="s">
        <v>449</v>
      </c>
      <c r="P2258" s="656" t="s">
        <v>1176</v>
      </c>
      <c r="Q2258" s="657">
        <v>0</v>
      </c>
      <c r="R2258" s="657">
        <v>0</v>
      </c>
      <c r="S2258" s="657">
        <v>106001</v>
      </c>
      <c r="T2258" s="657">
        <v>106001</v>
      </c>
      <c r="U2258" s="657">
        <v>11987</v>
      </c>
      <c r="V2258" s="655">
        <v>2021</v>
      </c>
      <c r="W2258" s="659"/>
      <c r="X2258" s="660">
        <f t="shared" si="107"/>
        <v>8.8429965796279308</v>
      </c>
      <c r="Y2258" s="661" t="str">
        <f t="shared" si="105"/>
        <v/>
      </c>
      <c r="Z2258" s="661" t="str">
        <f t="shared" si="106"/>
        <v/>
      </c>
    </row>
    <row r="2259" spans="1:26" s="128" customFormat="1" ht="25" hidden="1">
      <c r="A2259" s="655">
        <v>64560</v>
      </c>
      <c r="B2259" s="656" t="s">
        <v>33</v>
      </c>
      <c r="C2259" s="655" t="s">
        <v>2793</v>
      </c>
      <c r="D2259" s="656" t="s">
        <v>3484</v>
      </c>
      <c r="E2259" s="656" t="s">
        <v>3485</v>
      </c>
      <c r="F2259" s="655">
        <v>64189</v>
      </c>
      <c r="G2259" s="656" t="s">
        <v>57</v>
      </c>
      <c r="H2259" s="656" t="s">
        <v>1182</v>
      </c>
      <c r="I2259" s="656" t="s">
        <v>58</v>
      </c>
      <c r="J2259" s="655">
        <v>22</v>
      </c>
      <c r="K2259" s="655">
        <v>2</v>
      </c>
      <c r="L2259" s="656" t="s">
        <v>52</v>
      </c>
      <c r="M2259" s="656" t="s">
        <v>448</v>
      </c>
      <c r="N2259" s="656" t="s">
        <v>449</v>
      </c>
      <c r="O2259" s="656" t="s">
        <v>449</v>
      </c>
      <c r="P2259" s="656" t="s">
        <v>1176</v>
      </c>
      <c r="Q2259" s="657">
        <v>0</v>
      </c>
      <c r="R2259" s="657">
        <v>0</v>
      </c>
      <c r="S2259" s="657">
        <v>2963</v>
      </c>
      <c r="T2259" s="657">
        <v>2963</v>
      </c>
      <c r="U2259" s="657">
        <v>335</v>
      </c>
      <c r="V2259" s="655">
        <v>2021</v>
      </c>
      <c r="W2259" s="659"/>
      <c r="X2259" s="660">
        <f t="shared" si="107"/>
        <v>8.8447761194029848</v>
      </c>
      <c r="Y2259" s="661" t="str">
        <f t="shared" si="105"/>
        <v/>
      </c>
      <c r="Z2259" s="661" t="str">
        <f t="shared" si="106"/>
        <v/>
      </c>
    </row>
    <row r="2260" spans="1:26" s="128" customFormat="1" ht="25" hidden="1">
      <c r="A2260" s="655">
        <v>64561</v>
      </c>
      <c r="B2260" s="656" t="s">
        <v>33</v>
      </c>
      <c r="C2260" s="655" t="s">
        <v>2793</v>
      </c>
      <c r="D2260" s="656" t="s">
        <v>3486</v>
      </c>
      <c r="E2260" s="656" t="s">
        <v>3487</v>
      </c>
      <c r="F2260" s="655">
        <v>64190</v>
      </c>
      <c r="G2260" s="656" t="s">
        <v>57</v>
      </c>
      <c r="H2260" s="656" t="s">
        <v>1182</v>
      </c>
      <c r="I2260" s="656" t="s">
        <v>58</v>
      </c>
      <c r="J2260" s="655">
        <v>22</v>
      </c>
      <c r="K2260" s="655">
        <v>2</v>
      </c>
      <c r="L2260" s="656" t="s">
        <v>52</v>
      </c>
      <c r="M2260" s="656" t="s">
        <v>448</v>
      </c>
      <c r="N2260" s="656" t="s">
        <v>449</v>
      </c>
      <c r="O2260" s="656" t="s">
        <v>449</v>
      </c>
      <c r="P2260" s="656" t="s">
        <v>1176</v>
      </c>
      <c r="Q2260" s="657">
        <v>0</v>
      </c>
      <c r="R2260" s="657">
        <v>0</v>
      </c>
      <c r="S2260" s="657">
        <v>1707</v>
      </c>
      <c r="T2260" s="657">
        <v>1707</v>
      </c>
      <c r="U2260" s="657">
        <v>193</v>
      </c>
      <c r="V2260" s="655">
        <v>2021</v>
      </c>
      <c r="W2260" s="659"/>
      <c r="X2260" s="660">
        <f t="shared" si="107"/>
        <v>8.8445595854922274</v>
      </c>
      <c r="Y2260" s="661" t="str">
        <f t="shared" si="105"/>
        <v/>
      </c>
      <c r="Z2260" s="661" t="str">
        <f t="shared" si="106"/>
        <v/>
      </c>
    </row>
    <row r="2261" spans="1:26" s="128" customFormat="1" hidden="1">
      <c r="A2261" s="655">
        <v>64562</v>
      </c>
      <c r="B2261" s="656" t="s">
        <v>33</v>
      </c>
      <c r="C2261" s="655" t="s">
        <v>2793</v>
      </c>
      <c r="D2261" s="656" t="s">
        <v>3488</v>
      </c>
      <c r="E2261" s="656" t="s">
        <v>3489</v>
      </c>
      <c r="F2261" s="655">
        <v>64193</v>
      </c>
      <c r="G2261" s="656" t="s">
        <v>57</v>
      </c>
      <c r="H2261" s="656" t="s">
        <v>1182</v>
      </c>
      <c r="I2261" s="656" t="s">
        <v>58</v>
      </c>
      <c r="J2261" s="655">
        <v>22</v>
      </c>
      <c r="K2261" s="655">
        <v>2</v>
      </c>
      <c r="L2261" s="656" t="s">
        <v>52</v>
      </c>
      <c r="M2261" s="656" t="s">
        <v>448</v>
      </c>
      <c r="N2261" s="656" t="s">
        <v>449</v>
      </c>
      <c r="O2261" s="656" t="s">
        <v>449</v>
      </c>
      <c r="P2261" s="656" t="s">
        <v>1176</v>
      </c>
      <c r="Q2261" s="657">
        <v>0</v>
      </c>
      <c r="R2261" s="657">
        <v>0</v>
      </c>
      <c r="S2261" s="657">
        <v>13795</v>
      </c>
      <c r="T2261" s="657">
        <v>13795</v>
      </c>
      <c r="U2261" s="657">
        <v>1560</v>
      </c>
      <c r="V2261" s="655">
        <v>2021</v>
      </c>
      <c r="W2261" s="659"/>
      <c r="X2261" s="660">
        <f t="shared" si="107"/>
        <v>8.8429487179487172</v>
      </c>
      <c r="Y2261" s="661" t="str">
        <f t="shared" si="105"/>
        <v/>
      </c>
      <c r="Z2261" s="661" t="str">
        <f t="shared" si="106"/>
        <v/>
      </c>
    </row>
    <row r="2262" spans="1:26" s="128" customFormat="1">
      <c r="A2262" s="655">
        <v>64572</v>
      </c>
      <c r="B2262" s="656" t="s">
        <v>33</v>
      </c>
      <c r="C2262" s="655" t="s">
        <v>2793</v>
      </c>
      <c r="D2262" s="656" t="s">
        <v>3331</v>
      </c>
      <c r="E2262" s="656" t="s">
        <v>3332</v>
      </c>
      <c r="F2262" s="655">
        <v>64197</v>
      </c>
      <c r="G2262" s="656" t="s">
        <v>81</v>
      </c>
      <c r="H2262" s="656" t="s">
        <v>1183</v>
      </c>
      <c r="I2262" s="656" t="s">
        <v>58</v>
      </c>
      <c r="J2262" s="655">
        <v>22</v>
      </c>
      <c r="K2262" s="655">
        <v>2</v>
      </c>
      <c r="L2262" s="656" t="s">
        <v>52</v>
      </c>
      <c r="M2262" s="656" t="s">
        <v>448</v>
      </c>
      <c r="N2262" s="656" t="s">
        <v>449</v>
      </c>
      <c r="O2262" s="656" t="s">
        <v>449</v>
      </c>
      <c r="P2262" s="656" t="s">
        <v>1176</v>
      </c>
      <c r="Q2262" s="657">
        <v>0</v>
      </c>
      <c r="R2262" s="657">
        <v>0</v>
      </c>
      <c r="S2262" s="657">
        <v>39193</v>
      </c>
      <c r="T2262" s="657">
        <v>39193</v>
      </c>
      <c r="U2262" s="657">
        <v>4432</v>
      </c>
      <c r="V2262" s="655">
        <v>2021</v>
      </c>
      <c r="W2262" s="659"/>
      <c r="X2262" s="660">
        <f t="shared" si="107"/>
        <v>8.8431859205776178</v>
      </c>
      <c r="Y2262" s="661" t="str">
        <f t="shared" si="105"/>
        <v/>
      </c>
      <c r="Z2262" s="661" t="str">
        <f t="shared" si="106"/>
        <v/>
      </c>
    </row>
    <row r="2263" spans="1:26" s="128" customFormat="1">
      <c r="A2263" s="655">
        <v>64573</v>
      </c>
      <c r="B2263" s="656" t="s">
        <v>33</v>
      </c>
      <c r="C2263" s="655" t="s">
        <v>2793</v>
      </c>
      <c r="D2263" s="656" t="s">
        <v>3333</v>
      </c>
      <c r="E2263" s="656" t="s">
        <v>3334</v>
      </c>
      <c r="F2263" s="655">
        <v>64198</v>
      </c>
      <c r="G2263" s="656" t="s">
        <v>81</v>
      </c>
      <c r="H2263" s="656" t="s">
        <v>1183</v>
      </c>
      <c r="I2263" s="656" t="s">
        <v>58</v>
      </c>
      <c r="J2263" s="655">
        <v>22</v>
      </c>
      <c r="K2263" s="655">
        <v>2</v>
      </c>
      <c r="L2263" s="656" t="s">
        <v>52</v>
      </c>
      <c r="M2263" s="656" t="s">
        <v>448</v>
      </c>
      <c r="N2263" s="656" t="s">
        <v>449</v>
      </c>
      <c r="O2263" s="656" t="s">
        <v>449</v>
      </c>
      <c r="P2263" s="656" t="s">
        <v>1176</v>
      </c>
      <c r="Q2263" s="657">
        <v>0</v>
      </c>
      <c r="R2263" s="657">
        <v>0</v>
      </c>
      <c r="S2263" s="657">
        <v>21903</v>
      </c>
      <c r="T2263" s="657">
        <v>21903</v>
      </c>
      <c r="U2263" s="657">
        <v>2477</v>
      </c>
      <c r="V2263" s="655">
        <v>2021</v>
      </c>
      <c r="W2263" s="659"/>
      <c r="X2263" s="660">
        <f t="shared" si="107"/>
        <v>8.8425514735567212</v>
      </c>
      <c r="Y2263" s="661" t="str">
        <f t="shared" si="105"/>
        <v/>
      </c>
      <c r="Z2263" s="661" t="str">
        <f t="shared" si="106"/>
        <v/>
      </c>
    </row>
    <row r="2264" spans="1:26" s="128" customFormat="1" ht="25">
      <c r="A2264" s="655">
        <v>64574</v>
      </c>
      <c r="B2264" s="656" t="s">
        <v>33</v>
      </c>
      <c r="C2264" s="655" t="s">
        <v>2793</v>
      </c>
      <c r="D2264" s="656" t="s">
        <v>3335</v>
      </c>
      <c r="E2264" s="656" t="s">
        <v>3336</v>
      </c>
      <c r="F2264" s="655">
        <v>64200</v>
      </c>
      <c r="G2264" s="656" t="s">
        <v>81</v>
      </c>
      <c r="H2264" s="656" t="s">
        <v>1183</v>
      </c>
      <c r="I2264" s="656" t="s">
        <v>58</v>
      </c>
      <c r="J2264" s="655">
        <v>22</v>
      </c>
      <c r="K2264" s="655">
        <v>2</v>
      </c>
      <c r="L2264" s="656" t="s">
        <v>52</v>
      </c>
      <c r="M2264" s="656" t="s">
        <v>448</v>
      </c>
      <c r="N2264" s="656" t="s">
        <v>449</v>
      </c>
      <c r="O2264" s="656" t="s">
        <v>449</v>
      </c>
      <c r="P2264" s="656" t="s">
        <v>1176</v>
      </c>
      <c r="Q2264" s="657">
        <v>0</v>
      </c>
      <c r="R2264" s="657">
        <v>0</v>
      </c>
      <c r="S2264" s="657">
        <v>29906</v>
      </c>
      <c r="T2264" s="657">
        <v>29906</v>
      </c>
      <c r="U2264" s="657">
        <v>3382</v>
      </c>
      <c r="V2264" s="655">
        <v>2021</v>
      </c>
      <c r="W2264" s="659"/>
      <c r="X2264" s="660">
        <f t="shared" si="107"/>
        <v>8.8426966292134832</v>
      </c>
      <c r="Y2264" s="661" t="str">
        <f t="shared" si="105"/>
        <v/>
      </c>
      <c r="Z2264" s="661" t="str">
        <f t="shared" si="106"/>
        <v/>
      </c>
    </row>
    <row r="2265" spans="1:26" s="128" customFormat="1">
      <c r="A2265" s="655">
        <v>64575</v>
      </c>
      <c r="B2265" s="656" t="s">
        <v>33</v>
      </c>
      <c r="C2265" s="655" t="s">
        <v>2793</v>
      </c>
      <c r="D2265" s="656" t="s">
        <v>3337</v>
      </c>
      <c r="E2265" s="656" t="s">
        <v>3338</v>
      </c>
      <c r="F2265" s="655">
        <v>64201</v>
      </c>
      <c r="G2265" s="656" t="s">
        <v>81</v>
      </c>
      <c r="H2265" s="656" t="s">
        <v>1183</v>
      </c>
      <c r="I2265" s="656" t="s">
        <v>58</v>
      </c>
      <c r="J2265" s="655">
        <v>22</v>
      </c>
      <c r="K2265" s="655">
        <v>2</v>
      </c>
      <c r="L2265" s="656" t="s">
        <v>52</v>
      </c>
      <c r="M2265" s="656" t="s">
        <v>448</v>
      </c>
      <c r="N2265" s="656" t="s">
        <v>449</v>
      </c>
      <c r="O2265" s="656" t="s">
        <v>449</v>
      </c>
      <c r="P2265" s="656" t="s">
        <v>1176</v>
      </c>
      <c r="Q2265" s="657">
        <v>0</v>
      </c>
      <c r="R2265" s="657">
        <v>0</v>
      </c>
      <c r="S2265" s="657">
        <v>34037</v>
      </c>
      <c r="T2265" s="657">
        <v>34037</v>
      </c>
      <c r="U2265" s="657">
        <v>3849</v>
      </c>
      <c r="V2265" s="655">
        <v>2021</v>
      </c>
      <c r="W2265" s="659"/>
      <c r="X2265" s="660">
        <f t="shared" si="107"/>
        <v>8.8430761236684852</v>
      </c>
      <c r="Y2265" s="661" t="str">
        <f t="shared" si="105"/>
        <v/>
      </c>
      <c r="Z2265" s="661" t="str">
        <f t="shared" si="106"/>
        <v/>
      </c>
    </row>
    <row r="2266" spans="1:26" s="128" customFormat="1" hidden="1">
      <c r="A2266" s="655">
        <v>64577</v>
      </c>
      <c r="B2266" s="656" t="s">
        <v>33</v>
      </c>
      <c r="C2266" s="655" t="s">
        <v>2793</v>
      </c>
      <c r="D2266" s="656" t="s">
        <v>3490</v>
      </c>
      <c r="E2266" s="656" t="s">
        <v>3491</v>
      </c>
      <c r="F2266" s="655">
        <v>64191</v>
      </c>
      <c r="G2266" s="656" t="s">
        <v>57</v>
      </c>
      <c r="H2266" s="656" t="s">
        <v>1182</v>
      </c>
      <c r="I2266" s="656" t="s">
        <v>58</v>
      </c>
      <c r="J2266" s="655">
        <v>22</v>
      </c>
      <c r="K2266" s="655">
        <v>2</v>
      </c>
      <c r="L2266" s="656" t="s">
        <v>52</v>
      </c>
      <c r="M2266" s="656" t="s">
        <v>448</v>
      </c>
      <c r="N2266" s="656" t="s">
        <v>449</v>
      </c>
      <c r="O2266" s="656" t="s">
        <v>449</v>
      </c>
      <c r="P2266" s="656" t="s">
        <v>1176</v>
      </c>
      <c r="Q2266" s="657">
        <v>0</v>
      </c>
      <c r="R2266" s="657">
        <v>0</v>
      </c>
      <c r="S2266" s="657">
        <v>2370</v>
      </c>
      <c r="T2266" s="657">
        <v>2370</v>
      </c>
      <c r="U2266" s="657">
        <v>268</v>
      </c>
      <c r="V2266" s="655">
        <v>2021</v>
      </c>
      <c r="W2266" s="659"/>
      <c r="X2266" s="660">
        <f t="shared" si="107"/>
        <v>8.843283582089553</v>
      </c>
      <c r="Y2266" s="661" t="str">
        <f t="shared" si="105"/>
        <v/>
      </c>
      <c r="Z2266" s="661" t="str">
        <f t="shared" si="106"/>
        <v/>
      </c>
    </row>
    <row r="2267" spans="1:26" s="128" customFormat="1" hidden="1">
      <c r="A2267" s="655">
        <v>64578</v>
      </c>
      <c r="B2267" s="656" t="s">
        <v>33</v>
      </c>
      <c r="C2267" s="655" t="s">
        <v>2793</v>
      </c>
      <c r="D2267" s="656" t="s">
        <v>3492</v>
      </c>
      <c r="E2267" s="656" t="s">
        <v>3493</v>
      </c>
      <c r="F2267" s="655">
        <v>64192</v>
      </c>
      <c r="G2267" s="656" t="s">
        <v>57</v>
      </c>
      <c r="H2267" s="656" t="s">
        <v>1182</v>
      </c>
      <c r="I2267" s="656" t="s">
        <v>58</v>
      </c>
      <c r="J2267" s="655">
        <v>22</v>
      </c>
      <c r="K2267" s="655">
        <v>2</v>
      </c>
      <c r="L2267" s="656" t="s">
        <v>52</v>
      </c>
      <c r="M2267" s="656" t="s">
        <v>448</v>
      </c>
      <c r="N2267" s="656" t="s">
        <v>449</v>
      </c>
      <c r="O2267" s="656" t="s">
        <v>449</v>
      </c>
      <c r="P2267" s="656" t="s">
        <v>1176</v>
      </c>
      <c r="Q2267" s="657">
        <v>0</v>
      </c>
      <c r="R2267" s="657">
        <v>0</v>
      </c>
      <c r="S2267" s="657">
        <v>15908</v>
      </c>
      <c r="T2267" s="657">
        <v>15908</v>
      </c>
      <c r="U2267" s="657">
        <v>1799</v>
      </c>
      <c r="V2267" s="655">
        <v>2021</v>
      </c>
      <c r="W2267" s="659"/>
      <c r="X2267" s="660">
        <f t="shared" si="107"/>
        <v>8.8426903835464152</v>
      </c>
      <c r="Y2267" s="661" t="str">
        <f t="shared" si="105"/>
        <v/>
      </c>
      <c r="Z2267" s="661" t="str">
        <f t="shared" si="106"/>
        <v/>
      </c>
    </row>
    <row r="2268" spans="1:26" s="128" customFormat="1">
      <c r="A2268" s="655">
        <v>64587</v>
      </c>
      <c r="B2268" s="656" t="s">
        <v>33</v>
      </c>
      <c r="C2268" s="655" t="s">
        <v>2793</v>
      </c>
      <c r="D2268" s="656" t="s">
        <v>3339</v>
      </c>
      <c r="E2268" s="656" t="s">
        <v>3340</v>
      </c>
      <c r="F2268" s="655">
        <v>64202</v>
      </c>
      <c r="G2268" s="656" t="s">
        <v>81</v>
      </c>
      <c r="H2268" s="656" t="s">
        <v>1183</v>
      </c>
      <c r="I2268" s="656" t="s">
        <v>58</v>
      </c>
      <c r="J2268" s="655">
        <v>22</v>
      </c>
      <c r="K2268" s="655">
        <v>2</v>
      </c>
      <c r="L2268" s="656" t="s">
        <v>52</v>
      </c>
      <c r="M2268" s="656" t="s">
        <v>448</v>
      </c>
      <c r="N2268" s="656" t="s">
        <v>449</v>
      </c>
      <c r="O2268" s="656" t="s">
        <v>449</v>
      </c>
      <c r="P2268" s="656" t="s">
        <v>1176</v>
      </c>
      <c r="Q2268" s="657">
        <v>0</v>
      </c>
      <c r="R2268" s="657">
        <v>0</v>
      </c>
      <c r="S2268" s="657">
        <v>15060</v>
      </c>
      <c r="T2268" s="657">
        <v>15060</v>
      </c>
      <c r="U2268" s="657">
        <v>1703</v>
      </c>
      <c r="V2268" s="655">
        <v>2021</v>
      </c>
      <c r="W2268" s="659"/>
      <c r="X2268" s="660">
        <f t="shared" si="107"/>
        <v>8.8432178508514383</v>
      </c>
      <c r="Y2268" s="661" t="str">
        <f t="shared" si="105"/>
        <v/>
      </c>
      <c r="Z2268" s="661" t="str">
        <f t="shared" si="106"/>
        <v/>
      </c>
    </row>
    <row r="2269" spans="1:26" s="128" customFormat="1" ht="25">
      <c r="A2269" s="655">
        <v>64588</v>
      </c>
      <c r="B2269" s="656" t="s">
        <v>33</v>
      </c>
      <c r="C2269" s="655" t="s">
        <v>2793</v>
      </c>
      <c r="D2269" s="656" t="s">
        <v>3341</v>
      </c>
      <c r="E2269" s="656" t="s">
        <v>3342</v>
      </c>
      <c r="F2269" s="655">
        <v>64203</v>
      </c>
      <c r="G2269" s="656" t="s">
        <v>81</v>
      </c>
      <c r="H2269" s="656" t="s">
        <v>1183</v>
      </c>
      <c r="I2269" s="656" t="s">
        <v>58</v>
      </c>
      <c r="J2269" s="655">
        <v>22</v>
      </c>
      <c r="K2269" s="655">
        <v>2</v>
      </c>
      <c r="L2269" s="656" t="s">
        <v>52</v>
      </c>
      <c r="M2269" s="656" t="s">
        <v>448</v>
      </c>
      <c r="N2269" s="656" t="s">
        <v>449</v>
      </c>
      <c r="O2269" s="656" t="s">
        <v>449</v>
      </c>
      <c r="P2269" s="656" t="s">
        <v>1176</v>
      </c>
      <c r="Q2269" s="657">
        <v>0</v>
      </c>
      <c r="R2269" s="657">
        <v>0</v>
      </c>
      <c r="S2269" s="657">
        <v>75140</v>
      </c>
      <c r="T2269" s="657">
        <v>75140</v>
      </c>
      <c r="U2269" s="657">
        <v>8497</v>
      </c>
      <c r="V2269" s="655">
        <v>2021</v>
      </c>
      <c r="W2269" s="659"/>
      <c r="X2269" s="660">
        <f t="shared" si="107"/>
        <v>8.8431211015652575</v>
      </c>
      <c r="Y2269" s="661" t="str">
        <f t="shared" si="105"/>
        <v/>
      </c>
      <c r="Z2269" s="661" t="str">
        <f t="shared" si="106"/>
        <v/>
      </c>
    </row>
    <row r="2270" spans="1:26" s="128" customFormat="1" ht="25">
      <c r="A2270" s="655">
        <v>64589</v>
      </c>
      <c r="B2270" s="656" t="s">
        <v>33</v>
      </c>
      <c r="C2270" s="655" t="s">
        <v>2793</v>
      </c>
      <c r="D2270" s="656" t="s">
        <v>3343</v>
      </c>
      <c r="E2270" s="656" t="s">
        <v>3344</v>
      </c>
      <c r="F2270" s="655">
        <v>64204</v>
      </c>
      <c r="G2270" s="656" t="s">
        <v>81</v>
      </c>
      <c r="H2270" s="656" t="s">
        <v>1183</v>
      </c>
      <c r="I2270" s="656" t="s">
        <v>58</v>
      </c>
      <c r="J2270" s="655">
        <v>22</v>
      </c>
      <c r="K2270" s="655">
        <v>2</v>
      </c>
      <c r="L2270" s="656" t="s">
        <v>52</v>
      </c>
      <c r="M2270" s="656" t="s">
        <v>448</v>
      </c>
      <c r="N2270" s="656" t="s">
        <v>449</v>
      </c>
      <c r="O2270" s="656" t="s">
        <v>449</v>
      </c>
      <c r="P2270" s="656" t="s">
        <v>1176</v>
      </c>
      <c r="Q2270" s="657">
        <v>0</v>
      </c>
      <c r="R2270" s="657">
        <v>0</v>
      </c>
      <c r="S2270" s="657">
        <v>65040</v>
      </c>
      <c r="T2270" s="657">
        <v>65040</v>
      </c>
      <c r="U2270" s="657">
        <v>7355</v>
      </c>
      <c r="V2270" s="655">
        <v>2021</v>
      </c>
      <c r="W2270" s="659"/>
      <c r="X2270" s="660">
        <f t="shared" si="107"/>
        <v>8.8429639700883751</v>
      </c>
      <c r="Y2270" s="661" t="str">
        <f t="shared" si="105"/>
        <v/>
      </c>
      <c r="Z2270" s="661" t="str">
        <f t="shared" si="106"/>
        <v/>
      </c>
    </row>
    <row r="2271" spans="1:26" s="128" customFormat="1" hidden="1">
      <c r="A2271" s="655">
        <v>64593</v>
      </c>
      <c r="B2271" s="656" t="s">
        <v>33</v>
      </c>
      <c r="C2271" s="655" t="s">
        <v>2793</v>
      </c>
      <c r="D2271" s="656" t="s">
        <v>3494</v>
      </c>
      <c r="E2271" s="656" t="s">
        <v>3495</v>
      </c>
      <c r="F2271" s="655">
        <v>64210</v>
      </c>
      <c r="G2271" s="656" t="s">
        <v>57</v>
      </c>
      <c r="H2271" s="656" t="s">
        <v>1182</v>
      </c>
      <c r="I2271" s="656" t="s">
        <v>58</v>
      </c>
      <c r="J2271" s="655">
        <v>22</v>
      </c>
      <c r="K2271" s="655">
        <v>2</v>
      </c>
      <c r="L2271" s="656" t="s">
        <v>52</v>
      </c>
      <c r="M2271" s="656" t="s">
        <v>448</v>
      </c>
      <c r="N2271" s="656" t="s">
        <v>449</v>
      </c>
      <c r="O2271" s="656" t="s">
        <v>449</v>
      </c>
      <c r="P2271" s="656" t="s">
        <v>1176</v>
      </c>
      <c r="Q2271" s="657">
        <v>0</v>
      </c>
      <c r="R2271" s="657">
        <v>0</v>
      </c>
      <c r="S2271" s="657">
        <v>39300</v>
      </c>
      <c r="T2271" s="657">
        <v>39300</v>
      </c>
      <c r="U2271" s="657">
        <v>4444</v>
      </c>
      <c r="V2271" s="655">
        <v>2021</v>
      </c>
      <c r="W2271" s="659"/>
      <c r="X2271" s="660">
        <f t="shared" si="107"/>
        <v>8.8433843384338431</v>
      </c>
      <c r="Y2271" s="661" t="str">
        <f t="shared" si="105"/>
        <v/>
      </c>
      <c r="Z2271" s="661" t="str">
        <f t="shared" si="106"/>
        <v/>
      </c>
    </row>
    <row r="2272" spans="1:26" s="128" customFormat="1" hidden="1">
      <c r="A2272" s="655">
        <v>64594</v>
      </c>
      <c r="B2272" s="656" t="s">
        <v>33</v>
      </c>
      <c r="C2272" s="655" t="s">
        <v>2793</v>
      </c>
      <c r="D2272" s="656" t="s">
        <v>3496</v>
      </c>
      <c r="E2272" s="656" t="s">
        <v>3495</v>
      </c>
      <c r="F2272" s="655">
        <v>64210</v>
      </c>
      <c r="G2272" s="656" t="s">
        <v>57</v>
      </c>
      <c r="H2272" s="656" t="s">
        <v>1182</v>
      </c>
      <c r="I2272" s="656" t="s">
        <v>58</v>
      </c>
      <c r="J2272" s="655">
        <v>22</v>
      </c>
      <c r="K2272" s="655">
        <v>2</v>
      </c>
      <c r="L2272" s="656" t="s">
        <v>52</v>
      </c>
      <c r="M2272" s="656" t="s">
        <v>448</v>
      </c>
      <c r="N2272" s="656" t="s">
        <v>449</v>
      </c>
      <c r="O2272" s="656" t="s">
        <v>449</v>
      </c>
      <c r="P2272" s="656" t="s">
        <v>1176</v>
      </c>
      <c r="Q2272" s="657">
        <v>0</v>
      </c>
      <c r="R2272" s="657">
        <v>0</v>
      </c>
      <c r="S2272" s="657">
        <v>3696</v>
      </c>
      <c r="T2272" s="657">
        <v>3696</v>
      </c>
      <c r="U2272" s="657">
        <v>418</v>
      </c>
      <c r="V2272" s="655">
        <v>2021</v>
      </c>
      <c r="W2272" s="659"/>
      <c r="X2272" s="660">
        <f t="shared" si="107"/>
        <v>8.8421052631578956</v>
      </c>
      <c r="Y2272" s="661" t="str">
        <f t="shared" si="105"/>
        <v/>
      </c>
      <c r="Z2272" s="661" t="str">
        <f t="shared" si="106"/>
        <v/>
      </c>
    </row>
    <row r="2273" spans="1:26" s="128" customFormat="1" hidden="1">
      <c r="A2273" s="655">
        <v>64595</v>
      </c>
      <c r="B2273" s="656" t="s">
        <v>33</v>
      </c>
      <c r="C2273" s="655" t="s">
        <v>2793</v>
      </c>
      <c r="D2273" s="656" t="s">
        <v>3497</v>
      </c>
      <c r="E2273" s="656" t="s">
        <v>3495</v>
      </c>
      <c r="F2273" s="655">
        <v>64210</v>
      </c>
      <c r="G2273" s="656" t="s">
        <v>57</v>
      </c>
      <c r="H2273" s="656" t="s">
        <v>1182</v>
      </c>
      <c r="I2273" s="656" t="s">
        <v>58</v>
      </c>
      <c r="J2273" s="655">
        <v>22</v>
      </c>
      <c r="K2273" s="655">
        <v>2</v>
      </c>
      <c r="L2273" s="656" t="s">
        <v>52</v>
      </c>
      <c r="M2273" s="656" t="s">
        <v>448</v>
      </c>
      <c r="N2273" s="656" t="s">
        <v>449</v>
      </c>
      <c r="O2273" s="656" t="s">
        <v>449</v>
      </c>
      <c r="P2273" s="656" t="s">
        <v>1176</v>
      </c>
      <c r="Q2273" s="657">
        <v>0</v>
      </c>
      <c r="R2273" s="657">
        <v>0</v>
      </c>
      <c r="S2273" s="657">
        <v>29624</v>
      </c>
      <c r="T2273" s="657">
        <v>29624</v>
      </c>
      <c r="U2273" s="657">
        <v>3350</v>
      </c>
      <c r="V2273" s="655">
        <v>2021</v>
      </c>
      <c r="W2273" s="659"/>
      <c r="X2273" s="660">
        <f t="shared" si="107"/>
        <v>8.8429850746268652</v>
      </c>
      <c r="Y2273" s="661" t="str">
        <f t="shared" si="105"/>
        <v/>
      </c>
      <c r="Z2273" s="661" t="str">
        <f t="shared" si="106"/>
        <v/>
      </c>
    </row>
    <row r="2274" spans="1:26" s="128" customFormat="1" ht="25" hidden="1">
      <c r="A2274" s="655">
        <v>64605</v>
      </c>
      <c r="B2274" s="656" t="s">
        <v>33</v>
      </c>
      <c r="C2274" s="655" t="s">
        <v>2793</v>
      </c>
      <c r="D2274" s="656" t="s">
        <v>3345</v>
      </c>
      <c r="E2274" s="656" t="s">
        <v>2247</v>
      </c>
      <c r="F2274" s="655">
        <v>61227</v>
      </c>
      <c r="G2274" s="656" t="s">
        <v>131</v>
      </c>
      <c r="H2274" s="656" t="s">
        <v>1183</v>
      </c>
      <c r="I2274" s="656" t="s">
        <v>58</v>
      </c>
      <c r="J2274" s="655">
        <v>22</v>
      </c>
      <c r="K2274" s="655">
        <v>2</v>
      </c>
      <c r="L2274" s="656" t="s">
        <v>52</v>
      </c>
      <c r="M2274" s="656" t="s">
        <v>448</v>
      </c>
      <c r="N2274" s="656" t="s">
        <v>449</v>
      </c>
      <c r="O2274" s="656" t="s">
        <v>449</v>
      </c>
      <c r="P2274" s="656" t="s">
        <v>1176</v>
      </c>
      <c r="Q2274" s="657">
        <v>0</v>
      </c>
      <c r="R2274" s="657">
        <v>0</v>
      </c>
      <c r="S2274" s="657">
        <v>91019</v>
      </c>
      <c r="T2274" s="657">
        <v>91019</v>
      </c>
      <c r="U2274" s="657">
        <v>10293</v>
      </c>
      <c r="V2274" s="655">
        <v>2021</v>
      </c>
      <c r="W2274" s="659"/>
      <c r="X2274" s="660">
        <f t="shared" si="107"/>
        <v>8.8428057903429522</v>
      </c>
      <c r="Y2274" s="661" t="str">
        <f t="shared" si="105"/>
        <v/>
      </c>
      <c r="Z2274" s="661" t="str">
        <f t="shared" si="106"/>
        <v/>
      </c>
    </row>
    <row r="2275" spans="1:26" s="128" customFormat="1" ht="25">
      <c r="A2275" s="655">
        <v>64617</v>
      </c>
      <c r="B2275" s="656" t="s">
        <v>33</v>
      </c>
      <c r="C2275" s="655" t="s">
        <v>2793</v>
      </c>
      <c r="D2275" s="656" t="s">
        <v>3498</v>
      </c>
      <c r="E2275" s="656" t="s">
        <v>3499</v>
      </c>
      <c r="F2275" s="655">
        <v>64234</v>
      </c>
      <c r="G2275" s="656" t="s">
        <v>81</v>
      </c>
      <c r="H2275" s="656" t="s">
        <v>1183</v>
      </c>
      <c r="I2275" s="656" t="s">
        <v>58</v>
      </c>
      <c r="J2275" s="655">
        <v>22</v>
      </c>
      <c r="K2275" s="655">
        <v>2</v>
      </c>
      <c r="L2275" s="656" t="s">
        <v>52</v>
      </c>
      <c r="M2275" s="656" t="s">
        <v>1890</v>
      </c>
      <c r="N2275" s="656" t="s">
        <v>1052</v>
      </c>
      <c r="O2275" s="656" t="s">
        <v>82</v>
      </c>
      <c r="P2275" s="656" t="s">
        <v>2794</v>
      </c>
      <c r="Q2275" s="657">
        <v>0</v>
      </c>
      <c r="R2275" s="657">
        <v>0</v>
      </c>
      <c r="S2275" s="657">
        <v>0</v>
      </c>
      <c r="T2275" s="657">
        <v>0</v>
      </c>
      <c r="U2275" s="657">
        <v>0</v>
      </c>
      <c r="V2275" s="655">
        <v>2021</v>
      </c>
      <c r="W2275" s="659"/>
      <c r="X2275" s="660" t="str">
        <f t="shared" si="107"/>
        <v/>
      </c>
      <c r="Y2275" s="661" t="str">
        <f t="shared" si="105"/>
        <v/>
      </c>
      <c r="Z2275" s="661" t="str">
        <f t="shared" si="106"/>
        <v/>
      </c>
    </row>
    <row r="2276" spans="1:26" s="128" customFormat="1">
      <c r="A2276" s="655">
        <v>64617</v>
      </c>
      <c r="B2276" s="656" t="s">
        <v>33</v>
      </c>
      <c r="C2276" s="655" t="s">
        <v>2793</v>
      </c>
      <c r="D2276" s="656" t="s">
        <v>3498</v>
      </c>
      <c r="E2276" s="656" t="s">
        <v>3499</v>
      </c>
      <c r="F2276" s="655">
        <v>64234</v>
      </c>
      <c r="G2276" s="656" t="s">
        <v>81</v>
      </c>
      <c r="H2276" s="656" t="s">
        <v>1183</v>
      </c>
      <c r="I2276" s="656" t="s">
        <v>58</v>
      </c>
      <c r="J2276" s="655">
        <v>22</v>
      </c>
      <c r="K2276" s="655">
        <v>2</v>
      </c>
      <c r="L2276" s="656" t="s">
        <v>52</v>
      </c>
      <c r="M2276" s="656" t="s">
        <v>448</v>
      </c>
      <c r="N2276" s="656" t="s">
        <v>449</v>
      </c>
      <c r="O2276" s="656" t="s">
        <v>449</v>
      </c>
      <c r="P2276" s="656" t="s">
        <v>1176</v>
      </c>
      <c r="Q2276" s="657">
        <v>0</v>
      </c>
      <c r="R2276" s="657">
        <v>0</v>
      </c>
      <c r="S2276" s="657">
        <v>849</v>
      </c>
      <c r="T2276" s="657">
        <v>849</v>
      </c>
      <c r="U2276" s="657">
        <v>96</v>
      </c>
      <c r="V2276" s="655">
        <v>2021</v>
      </c>
      <c r="W2276" s="659"/>
      <c r="X2276" s="660">
        <f t="shared" si="107"/>
        <v>8.84375</v>
      </c>
      <c r="Y2276" s="661" t="str">
        <f t="shared" si="105"/>
        <v/>
      </c>
      <c r="Z2276" s="661" t="str">
        <f t="shared" si="106"/>
        <v/>
      </c>
    </row>
    <row r="2277" spans="1:26" s="128" customFormat="1" ht="25">
      <c r="A2277" s="655">
        <v>64618</v>
      </c>
      <c r="B2277" s="656" t="s">
        <v>33</v>
      </c>
      <c r="C2277" s="655" t="s">
        <v>2793</v>
      </c>
      <c r="D2277" s="656" t="s">
        <v>3500</v>
      </c>
      <c r="E2277" s="656" t="s">
        <v>3501</v>
      </c>
      <c r="F2277" s="655">
        <v>64235</v>
      </c>
      <c r="G2277" s="656" t="s">
        <v>81</v>
      </c>
      <c r="H2277" s="656" t="s">
        <v>1183</v>
      </c>
      <c r="I2277" s="656" t="s">
        <v>58</v>
      </c>
      <c r="J2277" s="655">
        <v>22</v>
      </c>
      <c r="K2277" s="655">
        <v>2</v>
      </c>
      <c r="L2277" s="656" t="s">
        <v>52</v>
      </c>
      <c r="M2277" s="656" t="s">
        <v>1890</v>
      </c>
      <c r="N2277" s="656" t="s">
        <v>1052</v>
      </c>
      <c r="O2277" s="656" t="s">
        <v>82</v>
      </c>
      <c r="P2277" s="656" t="s">
        <v>2794</v>
      </c>
      <c r="Q2277" s="657">
        <v>823</v>
      </c>
      <c r="R2277" s="657">
        <v>823</v>
      </c>
      <c r="S2277" s="657">
        <v>0</v>
      </c>
      <c r="T2277" s="657">
        <v>0</v>
      </c>
      <c r="U2277" s="657">
        <v>-257</v>
      </c>
      <c r="V2277" s="655">
        <v>2021</v>
      </c>
      <c r="W2277" s="659"/>
      <c r="X2277" s="660" t="str">
        <f t="shared" si="107"/>
        <v/>
      </c>
      <c r="Y2277" s="661" t="str">
        <f t="shared" si="105"/>
        <v/>
      </c>
      <c r="Z2277" s="661" t="str">
        <f t="shared" si="106"/>
        <v/>
      </c>
    </row>
    <row r="2278" spans="1:26" s="128" customFormat="1">
      <c r="A2278" s="655">
        <v>64618</v>
      </c>
      <c r="B2278" s="656" t="s">
        <v>33</v>
      </c>
      <c r="C2278" s="655" t="s">
        <v>2793</v>
      </c>
      <c r="D2278" s="656" t="s">
        <v>3500</v>
      </c>
      <c r="E2278" s="656" t="s">
        <v>3501</v>
      </c>
      <c r="F2278" s="655">
        <v>64235</v>
      </c>
      <c r="G2278" s="656" t="s">
        <v>81</v>
      </c>
      <c r="H2278" s="656" t="s">
        <v>1183</v>
      </c>
      <c r="I2278" s="656" t="s">
        <v>58</v>
      </c>
      <c r="J2278" s="655">
        <v>22</v>
      </c>
      <c r="K2278" s="655">
        <v>2</v>
      </c>
      <c r="L2278" s="656" t="s">
        <v>52</v>
      </c>
      <c r="M2278" s="656" t="s">
        <v>448</v>
      </c>
      <c r="N2278" s="656" t="s">
        <v>449</v>
      </c>
      <c r="O2278" s="656" t="s">
        <v>449</v>
      </c>
      <c r="P2278" s="656" t="s">
        <v>1176</v>
      </c>
      <c r="Q2278" s="657">
        <v>0</v>
      </c>
      <c r="R2278" s="657">
        <v>0</v>
      </c>
      <c r="S2278" s="657">
        <v>33586</v>
      </c>
      <c r="T2278" s="657">
        <v>33586</v>
      </c>
      <c r="U2278" s="657">
        <v>3798</v>
      </c>
      <c r="V2278" s="655">
        <v>2021</v>
      </c>
      <c r="W2278" s="659"/>
      <c r="X2278" s="660">
        <f t="shared" si="107"/>
        <v>8.8430753027909432</v>
      </c>
      <c r="Y2278" s="661" t="str">
        <f t="shared" si="105"/>
        <v/>
      </c>
      <c r="Z2278" s="661" t="str">
        <f t="shared" si="106"/>
        <v/>
      </c>
    </row>
    <row r="2279" spans="1:26" s="128" customFormat="1" ht="25">
      <c r="A2279" s="655">
        <v>64620</v>
      </c>
      <c r="B2279" s="656" t="s">
        <v>33</v>
      </c>
      <c r="C2279" s="655" t="s">
        <v>2793</v>
      </c>
      <c r="D2279" s="656" t="s">
        <v>3502</v>
      </c>
      <c r="E2279" s="656" t="s">
        <v>3503</v>
      </c>
      <c r="F2279" s="655">
        <v>64237</v>
      </c>
      <c r="G2279" s="656" t="s">
        <v>81</v>
      </c>
      <c r="H2279" s="656" t="s">
        <v>1183</v>
      </c>
      <c r="I2279" s="656" t="s">
        <v>58</v>
      </c>
      <c r="J2279" s="655">
        <v>22</v>
      </c>
      <c r="K2279" s="655">
        <v>2</v>
      </c>
      <c r="L2279" s="656" t="s">
        <v>52</v>
      </c>
      <c r="M2279" s="656" t="s">
        <v>1890</v>
      </c>
      <c r="N2279" s="656" t="s">
        <v>1052</v>
      </c>
      <c r="O2279" s="656" t="s">
        <v>82</v>
      </c>
      <c r="P2279" s="656" t="s">
        <v>2794</v>
      </c>
      <c r="Q2279" s="657">
        <v>0</v>
      </c>
      <c r="R2279" s="657">
        <v>0</v>
      </c>
      <c r="S2279" s="657">
        <v>0</v>
      </c>
      <c r="T2279" s="657">
        <v>0</v>
      </c>
      <c r="U2279" s="657">
        <v>0</v>
      </c>
      <c r="V2279" s="655">
        <v>2021</v>
      </c>
      <c r="W2279" s="659"/>
      <c r="X2279" s="660" t="str">
        <f t="shared" si="107"/>
        <v/>
      </c>
      <c r="Y2279" s="661" t="str">
        <f t="shared" si="105"/>
        <v/>
      </c>
      <c r="Z2279" s="661" t="str">
        <f t="shared" si="106"/>
        <v/>
      </c>
    </row>
    <row r="2280" spans="1:26" s="128" customFormat="1" ht="25">
      <c r="A2280" s="655">
        <v>64620</v>
      </c>
      <c r="B2280" s="656" t="s">
        <v>33</v>
      </c>
      <c r="C2280" s="655" t="s">
        <v>2793</v>
      </c>
      <c r="D2280" s="656" t="s">
        <v>3502</v>
      </c>
      <c r="E2280" s="656" t="s">
        <v>3503</v>
      </c>
      <c r="F2280" s="655">
        <v>64237</v>
      </c>
      <c r="G2280" s="656" t="s">
        <v>81</v>
      </c>
      <c r="H2280" s="656" t="s">
        <v>1183</v>
      </c>
      <c r="I2280" s="656" t="s">
        <v>58</v>
      </c>
      <c r="J2280" s="655">
        <v>22</v>
      </c>
      <c r="K2280" s="655">
        <v>2</v>
      </c>
      <c r="L2280" s="656" t="s">
        <v>52</v>
      </c>
      <c r="M2280" s="656" t="s">
        <v>448</v>
      </c>
      <c r="N2280" s="656" t="s">
        <v>449</v>
      </c>
      <c r="O2280" s="656" t="s">
        <v>449</v>
      </c>
      <c r="P2280" s="656" t="s">
        <v>1176</v>
      </c>
      <c r="Q2280" s="657">
        <v>0</v>
      </c>
      <c r="R2280" s="657">
        <v>0</v>
      </c>
      <c r="S2280" s="657">
        <v>1689</v>
      </c>
      <c r="T2280" s="657">
        <v>1689</v>
      </c>
      <c r="U2280" s="657">
        <v>191</v>
      </c>
      <c r="V2280" s="655">
        <v>2021</v>
      </c>
      <c r="W2280" s="659"/>
      <c r="X2280" s="660">
        <f t="shared" si="107"/>
        <v>8.842931937172775</v>
      </c>
      <c r="Y2280" s="661" t="str">
        <f t="shared" si="105"/>
        <v/>
      </c>
      <c r="Z2280" s="661" t="str">
        <f t="shared" si="106"/>
        <v/>
      </c>
    </row>
    <row r="2281" spans="1:26" s="128" customFormat="1" ht="25">
      <c r="A2281" s="655">
        <v>64627</v>
      </c>
      <c r="B2281" s="656" t="s">
        <v>33</v>
      </c>
      <c r="C2281" s="655" t="s">
        <v>2793</v>
      </c>
      <c r="D2281" s="656" t="s">
        <v>3504</v>
      </c>
      <c r="E2281" s="656" t="s">
        <v>3505</v>
      </c>
      <c r="F2281" s="655">
        <v>64241</v>
      </c>
      <c r="G2281" s="656" t="s">
        <v>81</v>
      </c>
      <c r="H2281" s="656" t="s">
        <v>1183</v>
      </c>
      <c r="I2281" s="656" t="s">
        <v>58</v>
      </c>
      <c r="J2281" s="655">
        <v>22</v>
      </c>
      <c r="K2281" s="655">
        <v>2</v>
      </c>
      <c r="L2281" s="656" t="s">
        <v>52</v>
      </c>
      <c r="M2281" s="656" t="s">
        <v>1890</v>
      </c>
      <c r="N2281" s="656" t="s">
        <v>1052</v>
      </c>
      <c r="O2281" s="656" t="s">
        <v>82</v>
      </c>
      <c r="P2281" s="656" t="s">
        <v>2794</v>
      </c>
      <c r="Q2281" s="657">
        <v>0</v>
      </c>
      <c r="R2281" s="657">
        <v>0</v>
      </c>
      <c r="S2281" s="657">
        <v>0</v>
      </c>
      <c r="T2281" s="657">
        <v>0</v>
      </c>
      <c r="U2281" s="657">
        <v>0</v>
      </c>
      <c r="V2281" s="655">
        <v>2021</v>
      </c>
      <c r="W2281" s="659"/>
      <c r="X2281" s="660" t="str">
        <f t="shared" si="107"/>
        <v/>
      </c>
      <c r="Y2281" s="661" t="str">
        <f t="shared" si="105"/>
        <v/>
      </c>
      <c r="Z2281" s="661" t="str">
        <f t="shared" si="106"/>
        <v/>
      </c>
    </row>
    <row r="2282" spans="1:26" s="128" customFormat="1" ht="25">
      <c r="A2282" s="655">
        <v>64627</v>
      </c>
      <c r="B2282" s="656" t="s">
        <v>33</v>
      </c>
      <c r="C2282" s="655" t="s">
        <v>2793</v>
      </c>
      <c r="D2282" s="656" t="s">
        <v>3504</v>
      </c>
      <c r="E2282" s="656" t="s">
        <v>3505</v>
      </c>
      <c r="F2282" s="655">
        <v>64241</v>
      </c>
      <c r="G2282" s="656" t="s">
        <v>81</v>
      </c>
      <c r="H2282" s="656" t="s">
        <v>1183</v>
      </c>
      <c r="I2282" s="656" t="s">
        <v>58</v>
      </c>
      <c r="J2282" s="655">
        <v>22</v>
      </c>
      <c r="K2282" s="655">
        <v>2</v>
      </c>
      <c r="L2282" s="656" t="s">
        <v>52</v>
      </c>
      <c r="M2282" s="656" t="s">
        <v>448</v>
      </c>
      <c r="N2282" s="656" t="s">
        <v>449</v>
      </c>
      <c r="O2282" s="656" t="s">
        <v>449</v>
      </c>
      <c r="P2282" s="656" t="s">
        <v>1176</v>
      </c>
      <c r="Q2282" s="657">
        <v>0</v>
      </c>
      <c r="R2282" s="657">
        <v>0</v>
      </c>
      <c r="S2282" s="657">
        <v>17</v>
      </c>
      <c r="T2282" s="657">
        <v>17</v>
      </c>
      <c r="U2282" s="657">
        <v>2</v>
      </c>
      <c r="V2282" s="655">
        <v>2021</v>
      </c>
      <c r="W2282" s="659"/>
      <c r="X2282" s="660">
        <f t="shared" si="107"/>
        <v>8.5</v>
      </c>
      <c r="Y2282" s="661" t="str">
        <f t="shared" si="105"/>
        <v/>
      </c>
      <c r="Z2282" s="661" t="str">
        <f t="shared" si="106"/>
        <v/>
      </c>
    </row>
    <row r="2283" spans="1:26" s="128" customFormat="1" ht="25">
      <c r="A2283" s="655">
        <v>64664</v>
      </c>
      <c r="B2283" s="656" t="s">
        <v>33</v>
      </c>
      <c r="C2283" s="655" t="s">
        <v>2793</v>
      </c>
      <c r="D2283" s="656" t="s">
        <v>3506</v>
      </c>
      <c r="E2283" s="656" t="s">
        <v>3506</v>
      </c>
      <c r="F2283" s="655">
        <v>64258</v>
      </c>
      <c r="G2283" s="656" t="s">
        <v>81</v>
      </c>
      <c r="H2283" s="656" t="s">
        <v>1183</v>
      </c>
      <c r="I2283" s="656" t="s">
        <v>58</v>
      </c>
      <c r="J2283" s="655">
        <v>22</v>
      </c>
      <c r="K2283" s="655">
        <v>2</v>
      </c>
      <c r="L2283" s="656" t="s">
        <v>52</v>
      </c>
      <c r="M2283" s="656" t="s">
        <v>1890</v>
      </c>
      <c r="N2283" s="656" t="s">
        <v>1052</v>
      </c>
      <c r="O2283" s="656" t="s">
        <v>82</v>
      </c>
      <c r="P2283" s="656" t="s">
        <v>2794</v>
      </c>
      <c r="Q2283" s="657">
        <v>0</v>
      </c>
      <c r="R2283" s="657">
        <v>0</v>
      </c>
      <c r="S2283" s="657">
        <v>0</v>
      </c>
      <c r="T2283" s="657">
        <v>0</v>
      </c>
      <c r="U2283" s="657">
        <v>0</v>
      </c>
      <c r="V2283" s="655">
        <v>2021</v>
      </c>
      <c r="W2283" s="659"/>
      <c r="X2283" s="660" t="str">
        <f t="shared" si="107"/>
        <v/>
      </c>
      <c r="Y2283" s="661" t="str">
        <f t="shared" si="105"/>
        <v/>
      </c>
      <c r="Z2283" s="661" t="str">
        <f t="shared" si="106"/>
        <v/>
      </c>
    </row>
    <row r="2284" spans="1:26" s="128" customFormat="1">
      <c r="A2284" s="655">
        <v>64664</v>
      </c>
      <c r="B2284" s="656" t="s">
        <v>33</v>
      </c>
      <c r="C2284" s="655" t="s">
        <v>2793</v>
      </c>
      <c r="D2284" s="656" t="s">
        <v>3506</v>
      </c>
      <c r="E2284" s="656" t="s">
        <v>3506</v>
      </c>
      <c r="F2284" s="655">
        <v>64258</v>
      </c>
      <c r="G2284" s="656" t="s">
        <v>81</v>
      </c>
      <c r="H2284" s="656" t="s">
        <v>1183</v>
      </c>
      <c r="I2284" s="656" t="s">
        <v>58</v>
      </c>
      <c r="J2284" s="655">
        <v>22</v>
      </c>
      <c r="K2284" s="655">
        <v>2</v>
      </c>
      <c r="L2284" s="656" t="s">
        <v>52</v>
      </c>
      <c r="M2284" s="656" t="s">
        <v>448</v>
      </c>
      <c r="N2284" s="656" t="s">
        <v>449</v>
      </c>
      <c r="O2284" s="656" t="s">
        <v>449</v>
      </c>
      <c r="P2284" s="656" t="s">
        <v>1176</v>
      </c>
      <c r="Q2284" s="657">
        <v>0</v>
      </c>
      <c r="R2284" s="657">
        <v>0</v>
      </c>
      <c r="S2284" s="657">
        <v>53394</v>
      </c>
      <c r="T2284" s="657">
        <v>53394</v>
      </c>
      <c r="U2284" s="657">
        <v>6038</v>
      </c>
      <c r="V2284" s="655">
        <v>2021</v>
      </c>
      <c r="W2284" s="659"/>
      <c r="X2284" s="660">
        <f t="shared" si="107"/>
        <v>8.8429943689963562</v>
      </c>
      <c r="Y2284" s="661" t="str">
        <f t="shared" si="105"/>
        <v/>
      </c>
      <c r="Z2284" s="661" t="str">
        <f t="shared" si="106"/>
        <v/>
      </c>
    </row>
    <row r="2285" spans="1:26" s="128" customFormat="1" hidden="1">
      <c r="A2285" s="655">
        <v>64673</v>
      </c>
      <c r="B2285" s="656" t="s">
        <v>33</v>
      </c>
      <c r="C2285" s="655" t="s">
        <v>2793</v>
      </c>
      <c r="D2285" s="656" t="s">
        <v>3507</v>
      </c>
      <c r="E2285" s="656" t="s">
        <v>3508</v>
      </c>
      <c r="F2285" s="655">
        <v>64255</v>
      </c>
      <c r="G2285" s="656" t="s">
        <v>90</v>
      </c>
      <c r="H2285" s="656" t="s">
        <v>1183</v>
      </c>
      <c r="I2285" s="656" t="s">
        <v>58</v>
      </c>
      <c r="J2285" s="655">
        <v>22</v>
      </c>
      <c r="K2285" s="655">
        <v>2</v>
      </c>
      <c r="L2285" s="656" t="s">
        <v>52</v>
      </c>
      <c r="M2285" s="656" t="s">
        <v>448</v>
      </c>
      <c r="N2285" s="656" t="s">
        <v>449</v>
      </c>
      <c r="O2285" s="656" t="s">
        <v>449</v>
      </c>
      <c r="P2285" s="656" t="s">
        <v>1176</v>
      </c>
      <c r="Q2285" s="657">
        <v>0</v>
      </c>
      <c r="R2285" s="657">
        <v>0</v>
      </c>
      <c r="S2285" s="657">
        <v>97</v>
      </c>
      <c r="T2285" s="657">
        <v>97</v>
      </c>
      <c r="U2285" s="657">
        <v>11</v>
      </c>
      <c r="V2285" s="655">
        <v>2021</v>
      </c>
      <c r="W2285" s="659"/>
      <c r="X2285" s="660">
        <f t="shared" si="107"/>
        <v>8.8181818181818183</v>
      </c>
      <c r="Y2285" s="661" t="str">
        <f t="shared" si="105"/>
        <v/>
      </c>
      <c r="Z2285" s="661" t="str">
        <f t="shared" si="106"/>
        <v/>
      </c>
    </row>
    <row r="2286" spans="1:26" s="128" customFormat="1" hidden="1">
      <c r="A2286" s="655">
        <v>64675</v>
      </c>
      <c r="B2286" s="656" t="s">
        <v>33</v>
      </c>
      <c r="C2286" s="655" t="s">
        <v>2793</v>
      </c>
      <c r="D2286" s="656" t="s">
        <v>3509</v>
      </c>
      <c r="E2286" s="656" t="s">
        <v>3510</v>
      </c>
      <c r="F2286" s="655">
        <v>64257</v>
      </c>
      <c r="G2286" s="656" t="s">
        <v>90</v>
      </c>
      <c r="H2286" s="656" t="s">
        <v>1183</v>
      </c>
      <c r="I2286" s="656" t="s">
        <v>58</v>
      </c>
      <c r="J2286" s="655">
        <v>22</v>
      </c>
      <c r="K2286" s="655">
        <v>2</v>
      </c>
      <c r="L2286" s="656" t="s">
        <v>52</v>
      </c>
      <c r="M2286" s="656" t="s">
        <v>448</v>
      </c>
      <c r="N2286" s="656" t="s">
        <v>449</v>
      </c>
      <c r="O2286" s="656" t="s">
        <v>449</v>
      </c>
      <c r="P2286" s="656" t="s">
        <v>1176</v>
      </c>
      <c r="Q2286" s="657">
        <v>0</v>
      </c>
      <c r="R2286" s="657">
        <v>0</v>
      </c>
      <c r="S2286" s="657">
        <v>663</v>
      </c>
      <c r="T2286" s="657">
        <v>663</v>
      </c>
      <c r="U2286" s="657">
        <v>75</v>
      </c>
      <c r="V2286" s="655">
        <v>2021</v>
      </c>
      <c r="W2286" s="659"/>
      <c r="X2286" s="660">
        <f t="shared" si="107"/>
        <v>8.84</v>
      </c>
      <c r="Y2286" s="661" t="str">
        <f t="shared" si="105"/>
        <v/>
      </c>
      <c r="Z2286" s="661" t="str">
        <f t="shared" si="106"/>
        <v/>
      </c>
    </row>
    <row r="2287" spans="1:26" s="128" customFormat="1" hidden="1">
      <c r="A2287" s="655">
        <v>64679</v>
      </c>
      <c r="B2287" s="656" t="s">
        <v>33</v>
      </c>
      <c r="C2287" s="655" t="s">
        <v>2793</v>
      </c>
      <c r="D2287" s="656" t="s">
        <v>3511</v>
      </c>
      <c r="E2287" s="656" t="s">
        <v>2247</v>
      </c>
      <c r="F2287" s="655">
        <v>61227</v>
      </c>
      <c r="G2287" s="656" t="s">
        <v>57</v>
      </c>
      <c r="H2287" s="656" t="s">
        <v>1182</v>
      </c>
      <c r="I2287" s="656" t="s">
        <v>58</v>
      </c>
      <c r="J2287" s="655">
        <v>22</v>
      </c>
      <c r="K2287" s="655">
        <v>2</v>
      </c>
      <c r="L2287" s="656" t="s">
        <v>52</v>
      </c>
      <c r="M2287" s="656" t="s">
        <v>448</v>
      </c>
      <c r="N2287" s="656" t="s">
        <v>449</v>
      </c>
      <c r="O2287" s="656" t="s">
        <v>449</v>
      </c>
      <c r="P2287" s="656" t="s">
        <v>1176</v>
      </c>
      <c r="Q2287" s="657">
        <v>0</v>
      </c>
      <c r="R2287" s="657">
        <v>0</v>
      </c>
      <c r="S2287" s="657">
        <v>83910</v>
      </c>
      <c r="T2287" s="657">
        <v>83910</v>
      </c>
      <c r="U2287" s="657">
        <v>9489</v>
      </c>
      <c r="V2287" s="655">
        <v>2021</v>
      </c>
      <c r="W2287" s="659"/>
      <c r="X2287" s="660">
        <f t="shared" si="107"/>
        <v>8.8428706923806519</v>
      </c>
      <c r="Y2287" s="661" t="str">
        <f t="shared" si="105"/>
        <v/>
      </c>
      <c r="Z2287" s="661" t="str">
        <f t="shared" si="106"/>
        <v/>
      </c>
    </row>
    <row r="2288" spans="1:26" s="128" customFormat="1" hidden="1">
      <c r="A2288" s="655">
        <v>64680</v>
      </c>
      <c r="B2288" s="656" t="s">
        <v>33</v>
      </c>
      <c r="C2288" s="655" t="s">
        <v>2793</v>
      </c>
      <c r="D2288" s="656" t="s">
        <v>3512</v>
      </c>
      <c r="E2288" s="656" t="s">
        <v>2247</v>
      </c>
      <c r="F2288" s="655">
        <v>61227</v>
      </c>
      <c r="G2288" s="656" t="s">
        <v>57</v>
      </c>
      <c r="H2288" s="656" t="s">
        <v>1182</v>
      </c>
      <c r="I2288" s="656" t="s">
        <v>58</v>
      </c>
      <c r="J2288" s="655">
        <v>22</v>
      </c>
      <c r="K2288" s="655">
        <v>2</v>
      </c>
      <c r="L2288" s="656" t="s">
        <v>52</v>
      </c>
      <c r="M2288" s="656" t="s">
        <v>448</v>
      </c>
      <c r="N2288" s="656" t="s">
        <v>449</v>
      </c>
      <c r="O2288" s="656" t="s">
        <v>449</v>
      </c>
      <c r="P2288" s="656" t="s">
        <v>1176</v>
      </c>
      <c r="Q2288" s="657">
        <v>0</v>
      </c>
      <c r="R2288" s="657">
        <v>0</v>
      </c>
      <c r="S2288" s="657">
        <v>73078</v>
      </c>
      <c r="T2288" s="657">
        <v>73078</v>
      </c>
      <c r="U2288" s="657">
        <v>8264</v>
      </c>
      <c r="V2288" s="655">
        <v>2021</v>
      </c>
      <c r="W2288" s="659"/>
      <c r="X2288" s="660">
        <f t="shared" si="107"/>
        <v>8.8429332042594382</v>
      </c>
      <c r="Y2288" s="661" t="str">
        <f t="shared" si="105"/>
        <v/>
      </c>
      <c r="Z2288" s="661" t="str">
        <f t="shared" si="106"/>
        <v/>
      </c>
    </row>
    <row r="2289" spans="1:26" s="128" customFormat="1" hidden="1">
      <c r="A2289" s="655">
        <v>64681</v>
      </c>
      <c r="B2289" s="656" t="s">
        <v>33</v>
      </c>
      <c r="C2289" s="655" t="s">
        <v>2793</v>
      </c>
      <c r="D2289" s="656" t="s">
        <v>3513</v>
      </c>
      <c r="E2289" s="656" t="s">
        <v>2247</v>
      </c>
      <c r="F2289" s="655">
        <v>61227</v>
      </c>
      <c r="G2289" s="656" t="s">
        <v>57</v>
      </c>
      <c r="H2289" s="656" t="s">
        <v>1182</v>
      </c>
      <c r="I2289" s="656" t="s">
        <v>58</v>
      </c>
      <c r="J2289" s="655">
        <v>22</v>
      </c>
      <c r="K2289" s="655">
        <v>2</v>
      </c>
      <c r="L2289" s="656" t="s">
        <v>52</v>
      </c>
      <c r="M2289" s="656" t="s">
        <v>448</v>
      </c>
      <c r="N2289" s="656" t="s">
        <v>449</v>
      </c>
      <c r="O2289" s="656" t="s">
        <v>449</v>
      </c>
      <c r="P2289" s="656" t="s">
        <v>1176</v>
      </c>
      <c r="Q2289" s="657">
        <v>0</v>
      </c>
      <c r="R2289" s="657">
        <v>0</v>
      </c>
      <c r="S2289" s="657">
        <v>28881</v>
      </c>
      <c r="T2289" s="657">
        <v>28881</v>
      </c>
      <c r="U2289" s="657">
        <v>3266</v>
      </c>
      <c r="V2289" s="655">
        <v>2021</v>
      </c>
      <c r="W2289" s="659"/>
      <c r="X2289" s="660">
        <f t="shared" si="107"/>
        <v>8.8429271279853037</v>
      </c>
      <c r="Y2289" s="661" t="str">
        <f t="shared" si="105"/>
        <v/>
      </c>
      <c r="Z2289" s="661" t="str">
        <f t="shared" si="106"/>
        <v/>
      </c>
    </row>
    <row r="2290" spans="1:26" s="128" customFormat="1" ht="25" hidden="1">
      <c r="A2290" s="655">
        <v>64692</v>
      </c>
      <c r="B2290" s="656" t="s">
        <v>33</v>
      </c>
      <c r="C2290" s="655" t="s">
        <v>2793</v>
      </c>
      <c r="D2290" s="656" t="s">
        <v>3514</v>
      </c>
      <c r="E2290" s="656" t="s">
        <v>2327</v>
      </c>
      <c r="F2290" s="655">
        <v>60025</v>
      </c>
      <c r="G2290" s="656" t="s">
        <v>57</v>
      </c>
      <c r="H2290" s="656" t="s">
        <v>1182</v>
      </c>
      <c r="I2290" s="656" t="s">
        <v>58</v>
      </c>
      <c r="J2290" s="655">
        <v>22</v>
      </c>
      <c r="K2290" s="655">
        <v>2</v>
      </c>
      <c r="L2290" s="656" t="s">
        <v>52</v>
      </c>
      <c r="M2290" s="656" t="s">
        <v>448</v>
      </c>
      <c r="N2290" s="656" t="s">
        <v>449</v>
      </c>
      <c r="O2290" s="656" t="s">
        <v>449</v>
      </c>
      <c r="P2290" s="656" t="s">
        <v>1176</v>
      </c>
      <c r="Q2290" s="657">
        <v>0</v>
      </c>
      <c r="R2290" s="657">
        <v>0</v>
      </c>
      <c r="S2290" s="657">
        <v>901</v>
      </c>
      <c r="T2290" s="657">
        <v>901</v>
      </c>
      <c r="U2290" s="657">
        <v>102</v>
      </c>
      <c r="V2290" s="655">
        <v>2021</v>
      </c>
      <c r="W2290" s="659"/>
      <c r="X2290" s="660">
        <f t="shared" si="107"/>
        <v>8.8333333333333339</v>
      </c>
      <c r="Y2290" s="661" t="str">
        <f t="shared" si="105"/>
        <v/>
      </c>
      <c r="Z2290" s="661" t="str">
        <f t="shared" si="106"/>
        <v/>
      </c>
    </row>
    <row r="2291" spans="1:26" s="128" customFormat="1" ht="25">
      <c r="A2291" s="655">
        <v>64696</v>
      </c>
      <c r="B2291" s="656" t="s">
        <v>33</v>
      </c>
      <c r="C2291" s="655" t="s">
        <v>2793</v>
      </c>
      <c r="D2291" s="656" t="s">
        <v>3515</v>
      </c>
      <c r="E2291" s="656" t="s">
        <v>2210</v>
      </c>
      <c r="F2291" s="655">
        <v>61012</v>
      </c>
      <c r="G2291" s="656" t="s">
        <v>81</v>
      </c>
      <c r="H2291" s="656" t="s">
        <v>1183</v>
      </c>
      <c r="I2291" s="656" t="s">
        <v>58</v>
      </c>
      <c r="J2291" s="655">
        <v>22</v>
      </c>
      <c r="K2291" s="655">
        <v>2</v>
      </c>
      <c r="L2291" s="656" t="s">
        <v>52</v>
      </c>
      <c r="M2291" s="656" t="s">
        <v>1890</v>
      </c>
      <c r="N2291" s="656" t="s">
        <v>1052</v>
      </c>
      <c r="O2291" s="656" t="s">
        <v>82</v>
      </c>
      <c r="P2291" s="656" t="s">
        <v>2794</v>
      </c>
      <c r="Q2291" s="657">
        <v>2157</v>
      </c>
      <c r="R2291" s="657">
        <v>2157</v>
      </c>
      <c r="S2291" s="657">
        <v>0</v>
      </c>
      <c r="T2291" s="657">
        <v>0</v>
      </c>
      <c r="U2291" s="657">
        <v>-54</v>
      </c>
      <c r="V2291" s="655">
        <v>2021</v>
      </c>
      <c r="W2291" s="659"/>
      <c r="X2291" s="660" t="str">
        <f t="shared" si="107"/>
        <v/>
      </c>
      <c r="Y2291" s="661" t="str">
        <f t="shared" si="105"/>
        <v/>
      </c>
      <c r="Z2291" s="661" t="str">
        <f t="shared" si="106"/>
        <v/>
      </c>
    </row>
    <row r="2292" spans="1:26" s="128" customFormat="1">
      <c r="A2292" s="655">
        <v>64696</v>
      </c>
      <c r="B2292" s="656" t="s">
        <v>33</v>
      </c>
      <c r="C2292" s="655" t="s">
        <v>2793</v>
      </c>
      <c r="D2292" s="656" t="s">
        <v>3515</v>
      </c>
      <c r="E2292" s="656" t="s">
        <v>2210</v>
      </c>
      <c r="F2292" s="655">
        <v>61012</v>
      </c>
      <c r="G2292" s="656" t="s">
        <v>81</v>
      </c>
      <c r="H2292" s="656" t="s">
        <v>1183</v>
      </c>
      <c r="I2292" s="656" t="s">
        <v>58</v>
      </c>
      <c r="J2292" s="655">
        <v>22</v>
      </c>
      <c r="K2292" s="655">
        <v>2</v>
      </c>
      <c r="L2292" s="656" t="s">
        <v>52</v>
      </c>
      <c r="M2292" s="656" t="s">
        <v>448</v>
      </c>
      <c r="N2292" s="656" t="s">
        <v>449</v>
      </c>
      <c r="O2292" s="656" t="s">
        <v>449</v>
      </c>
      <c r="P2292" s="656" t="s">
        <v>1176</v>
      </c>
      <c r="Q2292" s="657">
        <v>0</v>
      </c>
      <c r="R2292" s="657">
        <v>0</v>
      </c>
      <c r="S2292" s="657">
        <v>39669</v>
      </c>
      <c r="T2292" s="657">
        <v>39669</v>
      </c>
      <c r="U2292" s="657">
        <v>4486</v>
      </c>
      <c r="V2292" s="655">
        <v>2021</v>
      </c>
      <c r="W2292" s="659"/>
      <c r="X2292" s="660">
        <f t="shared" si="107"/>
        <v>8.8428444048149792</v>
      </c>
      <c r="Y2292" s="661" t="str">
        <f t="shared" si="105"/>
        <v/>
      </c>
      <c r="Z2292" s="661" t="str">
        <f t="shared" si="106"/>
        <v/>
      </c>
    </row>
    <row r="2293" spans="1:26" s="128" customFormat="1" ht="25">
      <c r="A2293" s="655">
        <v>64705</v>
      </c>
      <c r="B2293" s="656" t="s">
        <v>33</v>
      </c>
      <c r="C2293" s="655" t="s">
        <v>2793</v>
      </c>
      <c r="D2293" s="656" t="s">
        <v>3516</v>
      </c>
      <c r="E2293" s="656" t="s">
        <v>1128</v>
      </c>
      <c r="F2293" s="655">
        <v>56769</v>
      </c>
      <c r="G2293" s="656" t="s">
        <v>81</v>
      </c>
      <c r="H2293" s="656" t="s">
        <v>1183</v>
      </c>
      <c r="I2293" s="656" t="s">
        <v>58</v>
      </c>
      <c r="J2293" s="655">
        <v>22</v>
      </c>
      <c r="K2293" s="655">
        <v>2</v>
      </c>
      <c r="L2293" s="656" t="s">
        <v>52</v>
      </c>
      <c r="M2293" s="656" t="s">
        <v>448</v>
      </c>
      <c r="N2293" s="656" t="s">
        <v>449</v>
      </c>
      <c r="O2293" s="656" t="s">
        <v>449</v>
      </c>
      <c r="P2293" s="656" t="s">
        <v>1176</v>
      </c>
      <c r="Q2293" s="657">
        <v>0</v>
      </c>
      <c r="R2293" s="657">
        <v>0</v>
      </c>
      <c r="S2293" s="657">
        <v>8251</v>
      </c>
      <c r="T2293" s="657">
        <v>8251</v>
      </c>
      <c r="U2293" s="657">
        <v>933</v>
      </c>
      <c r="V2293" s="655">
        <v>2021</v>
      </c>
      <c r="W2293" s="659"/>
      <c r="X2293" s="660">
        <f t="shared" si="107"/>
        <v>8.8435155412647379</v>
      </c>
      <c r="Y2293" s="661" t="str">
        <f t="shared" si="105"/>
        <v/>
      </c>
      <c r="Z2293" s="661" t="str">
        <f t="shared" si="106"/>
        <v/>
      </c>
    </row>
    <row r="2294" spans="1:26" s="128" customFormat="1" hidden="1">
      <c r="A2294" s="655">
        <v>64715</v>
      </c>
      <c r="B2294" s="656" t="s">
        <v>33</v>
      </c>
      <c r="C2294" s="655" t="s">
        <v>2793</v>
      </c>
      <c r="D2294" s="656" t="s">
        <v>3517</v>
      </c>
      <c r="E2294" s="656" t="s">
        <v>2210</v>
      </c>
      <c r="F2294" s="655">
        <v>61012</v>
      </c>
      <c r="G2294" s="656" t="s">
        <v>57</v>
      </c>
      <c r="H2294" s="656" t="s">
        <v>1182</v>
      </c>
      <c r="I2294" s="656" t="s">
        <v>58</v>
      </c>
      <c r="J2294" s="655">
        <v>22</v>
      </c>
      <c r="K2294" s="655">
        <v>2</v>
      </c>
      <c r="L2294" s="656" t="s">
        <v>52</v>
      </c>
      <c r="M2294" s="656" t="s">
        <v>448</v>
      </c>
      <c r="N2294" s="656" t="s">
        <v>449</v>
      </c>
      <c r="O2294" s="656" t="s">
        <v>449</v>
      </c>
      <c r="P2294" s="656" t="s">
        <v>1176</v>
      </c>
      <c r="Q2294" s="657">
        <v>0</v>
      </c>
      <c r="R2294" s="657">
        <v>0</v>
      </c>
      <c r="S2294" s="657">
        <v>150</v>
      </c>
      <c r="T2294" s="657">
        <v>150</v>
      </c>
      <c r="U2294" s="657">
        <v>17</v>
      </c>
      <c r="V2294" s="655">
        <v>2021</v>
      </c>
      <c r="W2294" s="659"/>
      <c r="X2294" s="660">
        <f t="shared" si="107"/>
        <v>8.8235294117647065</v>
      </c>
      <c r="Y2294" s="661" t="str">
        <f t="shared" si="105"/>
        <v/>
      </c>
      <c r="Z2294" s="661" t="str">
        <f t="shared" si="106"/>
        <v/>
      </c>
    </row>
    <row r="2295" spans="1:26" s="128" customFormat="1" hidden="1">
      <c r="A2295" s="655">
        <v>64716</v>
      </c>
      <c r="B2295" s="656" t="s">
        <v>33</v>
      </c>
      <c r="C2295" s="655" t="s">
        <v>2793</v>
      </c>
      <c r="D2295" s="656" t="s">
        <v>3518</v>
      </c>
      <c r="E2295" s="656" t="s">
        <v>2210</v>
      </c>
      <c r="F2295" s="655">
        <v>61012</v>
      </c>
      <c r="G2295" s="656" t="s">
        <v>57</v>
      </c>
      <c r="H2295" s="656" t="s">
        <v>1182</v>
      </c>
      <c r="I2295" s="656" t="s">
        <v>58</v>
      </c>
      <c r="J2295" s="655">
        <v>22</v>
      </c>
      <c r="K2295" s="655">
        <v>2</v>
      </c>
      <c r="L2295" s="656" t="s">
        <v>52</v>
      </c>
      <c r="M2295" s="656" t="s">
        <v>448</v>
      </c>
      <c r="N2295" s="656" t="s">
        <v>449</v>
      </c>
      <c r="O2295" s="656" t="s">
        <v>449</v>
      </c>
      <c r="P2295" s="656" t="s">
        <v>1176</v>
      </c>
      <c r="Q2295" s="657">
        <v>0</v>
      </c>
      <c r="R2295" s="657">
        <v>0</v>
      </c>
      <c r="S2295" s="657">
        <v>0</v>
      </c>
      <c r="T2295" s="657">
        <v>0</v>
      </c>
      <c r="U2295" s="657">
        <v>0</v>
      </c>
      <c r="V2295" s="655">
        <v>2021</v>
      </c>
      <c r="W2295" s="659"/>
      <c r="X2295" s="660" t="str">
        <f t="shared" si="107"/>
        <v/>
      </c>
      <c r="Y2295" s="661" t="str">
        <f t="shared" si="105"/>
        <v/>
      </c>
      <c r="Z2295" s="661" t="str">
        <f t="shared" si="106"/>
        <v/>
      </c>
    </row>
    <row r="2296" spans="1:26" s="128" customFormat="1" ht="25" hidden="1">
      <c r="A2296" s="655">
        <v>64719</v>
      </c>
      <c r="B2296" s="656" t="s">
        <v>33</v>
      </c>
      <c r="C2296" s="655" t="s">
        <v>2793</v>
      </c>
      <c r="D2296" s="656" t="s">
        <v>3519</v>
      </c>
      <c r="E2296" s="656" t="s">
        <v>2210</v>
      </c>
      <c r="F2296" s="655">
        <v>61012</v>
      </c>
      <c r="G2296" s="656" t="s">
        <v>57</v>
      </c>
      <c r="H2296" s="656" t="s">
        <v>1182</v>
      </c>
      <c r="I2296" s="656" t="s">
        <v>58</v>
      </c>
      <c r="J2296" s="655">
        <v>22</v>
      </c>
      <c r="K2296" s="655">
        <v>2</v>
      </c>
      <c r="L2296" s="656" t="s">
        <v>52</v>
      </c>
      <c r="M2296" s="656" t="s">
        <v>1890</v>
      </c>
      <c r="N2296" s="656" t="s">
        <v>1052</v>
      </c>
      <c r="O2296" s="656" t="s">
        <v>82</v>
      </c>
      <c r="P2296" s="656" t="s">
        <v>2794</v>
      </c>
      <c r="Q2296" s="657">
        <v>42</v>
      </c>
      <c r="R2296" s="657">
        <v>42</v>
      </c>
      <c r="S2296" s="657">
        <v>0</v>
      </c>
      <c r="T2296" s="657">
        <v>0</v>
      </c>
      <c r="U2296" s="657">
        <v>-10</v>
      </c>
      <c r="V2296" s="655">
        <v>2021</v>
      </c>
      <c r="W2296" s="659"/>
      <c r="X2296" s="660" t="str">
        <f t="shared" si="107"/>
        <v/>
      </c>
      <c r="Y2296" s="661" t="str">
        <f t="shared" si="105"/>
        <v/>
      </c>
      <c r="Z2296" s="661" t="str">
        <f t="shared" si="106"/>
        <v/>
      </c>
    </row>
    <row r="2297" spans="1:26" s="128" customFormat="1" hidden="1">
      <c r="A2297" s="655">
        <v>64719</v>
      </c>
      <c r="B2297" s="656" t="s">
        <v>33</v>
      </c>
      <c r="C2297" s="655" t="s">
        <v>2793</v>
      </c>
      <c r="D2297" s="656" t="s">
        <v>3519</v>
      </c>
      <c r="E2297" s="656" t="s">
        <v>2210</v>
      </c>
      <c r="F2297" s="655">
        <v>61012</v>
      </c>
      <c r="G2297" s="656" t="s">
        <v>57</v>
      </c>
      <c r="H2297" s="656" t="s">
        <v>1182</v>
      </c>
      <c r="I2297" s="656" t="s">
        <v>58</v>
      </c>
      <c r="J2297" s="655">
        <v>22</v>
      </c>
      <c r="K2297" s="655">
        <v>2</v>
      </c>
      <c r="L2297" s="656" t="s">
        <v>52</v>
      </c>
      <c r="M2297" s="656" t="s">
        <v>448</v>
      </c>
      <c r="N2297" s="656" t="s">
        <v>449</v>
      </c>
      <c r="O2297" s="656" t="s">
        <v>449</v>
      </c>
      <c r="P2297" s="656" t="s">
        <v>1176</v>
      </c>
      <c r="Q2297" s="657">
        <v>0</v>
      </c>
      <c r="R2297" s="657">
        <v>0</v>
      </c>
      <c r="S2297" s="657">
        <v>9868</v>
      </c>
      <c r="T2297" s="657">
        <v>9868</v>
      </c>
      <c r="U2297" s="657">
        <v>1116</v>
      </c>
      <c r="V2297" s="655">
        <v>2021</v>
      </c>
      <c r="W2297" s="659"/>
      <c r="X2297" s="660">
        <f t="shared" si="107"/>
        <v>8.8422939068100366</v>
      </c>
      <c r="Y2297" s="661" t="str">
        <f t="shared" si="105"/>
        <v/>
      </c>
      <c r="Z2297" s="661" t="str">
        <f t="shared" si="106"/>
        <v/>
      </c>
    </row>
    <row r="2298" spans="1:26" s="128" customFormat="1" hidden="1">
      <c r="A2298" s="655">
        <v>64720</v>
      </c>
      <c r="B2298" s="656" t="s">
        <v>33</v>
      </c>
      <c r="C2298" s="655" t="s">
        <v>2793</v>
      </c>
      <c r="D2298" s="656" t="s">
        <v>3520</v>
      </c>
      <c r="E2298" s="656" t="s">
        <v>2210</v>
      </c>
      <c r="F2298" s="655">
        <v>61012</v>
      </c>
      <c r="G2298" s="656" t="s">
        <v>57</v>
      </c>
      <c r="H2298" s="656" t="s">
        <v>1182</v>
      </c>
      <c r="I2298" s="656" t="s">
        <v>58</v>
      </c>
      <c r="J2298" s="655">
        <v>22</v>
      </c>
      <c r="K2298" s="655">
        <v>2</v>
      </c>
      <c r="L2298" s="656" t="s">
        <v>52</v>
      </c>
      <c r="M2298" s="656" t="s">
        <v>448</v>
      </c>
      <c r="N2298" s="656" t="s">
        <v>449</v>
      </c>
      <c r="O2298" s="656" t="s">
        <v>449</v>
      </c>
      <c r="P2298" s="656" t="s">
        <v>1176</v>
      </c>
      <c r="Q2298" s="657">
        <v>0</v>
      </c>
      <c r="R2298" s="657">
        <v>0</v>
      </c>
      <c r="S2298" s="657">
        <v>0</v>
      </c>
      <c r="T2298" s="657">
        <v>0</v>
      </c>
      <c r="U2298" s="657">
        <v>0</v>
      </c>
      <c r="V2298" s="655">
        <v>2021</v>
      </c>
      <c r="W2298" s="659"/>
      <c r="X2298" s="660" t="str">
        <f t="shared" si="107"/>
        <v/>
      </c>
      <c r="Y2298" s="661" t="str">
        <f t="shared" si="105"/>
        <v/>
      </c>
      <c r="Z2298" s="661" t="str">
        <f t="shared" si="106"/>
        <v/>
      </c>
    </row>
    <row r="2299" spans="1:26" s="128" customFormat="1" hidden="1">
      <c r="A2299" s="655">
        <v>64721</v>
      </c>
      <c r="B2299" s="656" t="s">
        <v>33</v>
      </c>
      <c r="C2299" s="655" t="s">
        <v>2793</v>
      </c>
      <c r="D2299" s="656" t="s">
        <v>3521</v>
      </c>
      <c r="E2299" s="656" t="s">
        <v>2210</v>
      </c>
      <c r="F2299" s="655">
        <v>61012</v>
      </c>
      <c r="G2299" s="656" t="s">
        <v>57</v>
      </c>
      <c r="H2299" s="656" t="s">
        <v>1182</v>
      </c>
      <c r="I2299" s="656" t="s">
        <v>58</v>
      </c>
      <c r="J2299" s="655">
        <v>22</v>
      </c>
      <c r="K2299" s="655">
        <v>2</v>
      </c>
      <c r="L2299" s="656" t="s">
        <v>52</v>
      </c>
      <c r="M2299" s="656" t="s">
        <v>448</v>
      </c>
      <c r="N2299" s="656" t="s">
        <v>449</v>
      </c>
      <c r="O2299" s="656" t="s">
        <v>449</v>
      </c>
      <c r="P2299" s="656" t="s">
        <v>1176</v>
      </c>
      <c r="Q2299" s="657">
        <v>0</v>
      </c>
      <c r="R2299" s="657">
        <v>0</v>
      </c>
      <c r="S2299" s="657">
        <v>0</v>
      </c>
      <c r="T2299" s="657">
        <v>0</v>
      </c>
      <c r="U2299" s="657">
        <v>0</v>
      </c>
      <c r="V2299" s="655">
        <v>2021</v>
      </c>
      <c r="W2299" s="659"/>
      <c r="X2299" s="660" t="str">
        <f t="shared" si="107"/>
        <v/>
      </c>
      <c r="Y2299" s="661" t="str">
        <f t="shared" si="105"/>
        <v/>
      </c>
      <c r="Z2299" s="661" t="str">
        <f t="shared" si="106"/>
        <v/>
      </c>
    </row>
    <row r="2300" spans="1:26" s="128" customFormat="1" hidden="1">
      <c r="A2300" s="655">
        <v>64723</v>
      </c>
      <c r="B2300" s="656" t="s">
        <v>33</v>
      </c>
      <c r="C2300" s="655" t="s">
        <v>2793</v>
      </c>
      <c r="D2300" s="656" t="s">
        <v>3346</v>
      </c>
      <c r="E2300" s="656" t="s">
        <v>3347</v>
      </c>
      <c r="F2300" s="655">
        <v>64292</v>
      </c>
      <c r="G2300" s="656" t="s">
        <v>131</v>
      </c>
      <c r="H2300" s="656" t="s">
        <v>1183</v>
      </c>
      <c r="I2300" s="656" t="s">
        <v>58</v>
      </c>
      <c r="J2300" s="655">
        <v>22</v>
      </c>
      <c r="K2300" s="655">
        <v>2</v>
      </c>
      <c r="L2300" s="656" t="s">
        <v>52</v>
      </c>
      <c r="M2300" s="656" t="s">
        <v>448</v>
      </c>
      <c r="N2300" s="656" t="s">
        <v>449</v>
      </c>
      <c r="O2300" s="656" t="s">
        <v>449</v>
      </c>
      <c r="P2300" s="656" t="s">
        <v>1176</v>
      </c>
      <c r="Q2300" s="657">
        <v>0</v>
      </c>
      <c r="R2300" s="657">
        <v>0</v>
      </c>
      <c r="S2300" s="657">
        <v>215118</v>
      </c>
      <c r="T2300" s="657">
        <v>215118</v>
      </c>
      <c r="U2300" s="657">
        <v>24326</v>
      </c>
      <c r="V2300" s="655">
        <v>2021</v>
      </c>
      <c r="W2300" s="659"/>
      <c r="X2300" s="660">
        <f t="shared" si="107"/>
        <v>8.8431308065444387</v>
      </c>
      <c r="Y2300" s="661" t="str">
        <f t="shared" si="105"/>
        <v/>
      </c>
      <c r="Z2300" s="661" t="str">
        <f t="shared" si="106"/>
        <v/>
      </c>
    </row>
    <row r="2301" spans="1:26" s="128" customFormat="1" hidden="1">
      <c r="A2301" s="655">
        <v>64725</v>
      </c>
      <c r="B2301" s="656" t="s">
        <v>33</v>
      </c>
      <c r="C2301" s="655" t="s">
        <v>2793</v>
      </c>
      <c r="D2301" s="656" t="s">
        <v>3522</v>
      </c>
      <c r="E2301" s="656" t="s">
        <v>2210</v>
      </c>
      <c r="F2301" s="655">
        <v>61012</v>
      </c>
      <c r="G2301" s="656" t="s">
        <v>57</v>
      </c>
      <c r="H2301" s="656" t="s">
        <v>1182</v>
      </c>
      <c r="I2301" s="656" t="s">
        <v>58</v>
      </c>
      <c r="J2301" s="655">
        <v>22</v>
      </c>
      <c r="K2301" s="655">
        <v>2</v>
      </c>
      <c r="L2301" s="656" t="s">
        <v>52</v>
      </c>
      <c r="M2301" s="656" t="s">
        <v>448</v>
      </c>
      <c r="N2301" s="656" t="s">
        <v>449</v>
      </c>
      <c r="O2301" s="656" t="s">
        <v>449</v>
      </c>
      <c r="P2301" s="656" t="s">
        <v>1176</v>
      </c>
      <c r="Q2301" s="657">
        <v>0</v>
      </c>
      <c r="R2301" s="657">
        <v>0</v>
      </c>
      <c r="S2301" s="657">
        <v>291</v>
      </c>
      <c r="T2301" s="657">
        <v>291</v>
      </c>
      <c r="U2301" s="657">
        <v>33</v>
      </c>
      <c r="V2301" s="655">
        <v>2021</v>
      </c>
      <c r="W2301" s="659"/>
      <c r="X2301" s="660">
        <f t="shared" si="107"/>
        <v>8.8181818181818183</v>
      </c>
      <c r="Y2301" s="661" t="str">
        <f t="shared" si="105"/>
        <v/>
      </c>
      <c r="Z2301" s="661" t="str">
        <f t="shared" si="106"/>
        <v/>
      </c>
    </row>
    <row r="2302" spans="1:26" s="128" customFormat="1" ht="25">
      <c r="A2302" s="655">
        <v>64731</v>
      </c>
      <c r="B2302" s="656" t="s">
        <v>33</v>
      </c>
      <c r="C2302" s="655" t="s">
        <v>2793</v>
      </c>
      <c r="D2302" s="656" t="s">
        <v>3523</v>
      </c>
      <c r="E2302" s="656" t="s">
        <v>3524</v>
      </c>
      <c r="F2302" s="655">
        <v>64296</v>
      </c>
      <c r="G2302" s="656" t="s">
        <v>81</v>
      </c>
      <c r="H2302" s="656" t="s">
        <v>1183</v>
      </c>
      <c r="I2302" s="656" t="s">
        <v>58</v>
      </c>
      <c r="J2302" s="655">
        <v>22</v>
      </c>
      <c r="K2302" s="655">
        <v>2</v>
      </c>
      <c r="L2302" s="656" t="s">
        <v>52</v>
      </c>
      <c r="M2302" s="656" t="s">
        <v>1890</v>
      </c>
      <c r="N2302" s="656" t="s">
        <v>1052</v>
      </c>
      <c r="O2302" s="656" t="s">
        <v>82</v>
      </c>
      <c r="P2302" s="656" t="s">
        <v>2794</v>
      </c>
      <c r="Q2302" s="657">
        <v>0</v>
      </c>
      <c r="R2302" s="657">
        <v>0</v>
      </c>
      <c r="S2302" s="657">
        <v>0</v>
      </c>
      <c r="T2302" s="657">
        <v>0</v>
      </c>
      <c r="U2302" s="657">
        <v>0</v>
      </c>
      <c r="V2302" s="655">
        <v>2021</v>
      </c>
      <c r="W2302" s="659"/>
      <c r="X2302" s="660" t="str">
        <f t="shared" si="107"/>
        <v/>
      </c>
      <c r="Y2302" s="661" t="str">
        <f t="shared" si="105"/>
        <v/>
      </c>
      <c r="Z2302" s="661" t="str">
        <f t="shared" si="106"/>
        <v/>
      </c>
    </row>
    <row r="2303" spans="1:26" s="128" customFormat="1">
      <c r="A2303" s="655">
        <v>64731</v>
      </c>
      <c r="B2303" s="656" t="s">
        <v>33</v>
      </c>
      <c r="C2303" s="655" t="s">
        <v>2793</v>
      </c>
      <c r="D2303" s="656" t="s">
        <v>3523</v>
      </c>
      <c r="E2303" s="656" t="s">
        <v>3524</v>
      </c>
      <c r="F2303" s="655">
        <v>64296</v>
      </c>
      <c r="G2303" s="656" t="s">
        <v>81</v>
      </c>
      <c r="H2303" s="656" t="s">
        <v>1183</v>
      </c>
      <c r="I2303" s="656" t="s">
        <v>58</v>
      </c>
      <c r="J2303" s="655">
        <v>22</v>
      </c>
      <c r="K2303" s="655">
        <v>2</v>
      </c>
      <c r="L2303" s="656" t="s">
        <v>52</v>
      </c>
      <c r="M2303" s="656" t="s">
        <v>448</v>
      </c>
      <c r="N2303" s="656" t="s">
        <v>449</v>
      </c>
      <c r="O2303" s="656" t="s">
        <v>449</v>
      </c>
      <c r="P2303" s="656" t="s">
        <v>1176</v>
      </c>
      <c r="Q2303" s="657">
        <v>0</v>
      </c>
      <c r="R2303" s="657">
        <v>0</v>
      </c>
      <c r="S2303" s="657">
        <v>884</v>
      </c>
      <c r="T2303" s="657">
        <v>884</v>
      </c>
      <c r="U2303" s="657">
        <v>100</v>
      </c>
      <c r="V2303" s="655">
        <v>2021</v>
      </c>
      <c r="W2303" s="659"/>
      <c r="X2303" s="660">
        <f t="shared" si="107"/>
        <v>8.84</v>
      </c>
      <c r="Y2303" s="661" t="str">
        <f t="shared" si="105"/>
        <v/>
      </c>
      <c r="Z2303" s="661" t="str">
        <f t="shared" si="106"/>
        <v/>
      </c>
    </row>
    <row r="2304" spans="1:26" s="128" customFormat="1" ht="25" hidden="1">
      <c r="A2304" s="655">
        <v>64746</v>
      </c>
      <c r="B2304" s="656" t="s">
        <v>33</v>
      </c>
      <c r="C2304" s="655" t="s">
        <v>2793</v>
      </c>
      <c r="D2304" s="656" t="s">
        <v>3348</v>
      </c>
      <c r="E2304" s="656" t="s">
        <v>2992</v>
      </c>
      <c r="F2304" s="655">
        <v>63058</v>
      </c>
      <c r="G2304" s="656" t="s">
        <v>57</v>
      </c>
      <c r="H2304" s="656" t="s">
        <v>1182</v>
      </c>
      <c r="I2304" s="656" t="s">
        <v>58</v>
      </c>
      <c r="J2304" s="655">
        <v>22</v>
      </c>
      <c r="K2304" s="655">
        <v>2</v>
      </c>
      <c r="L2304" s="656" t="s">
        <v>52</v>
      </c>
      <c r="M2304" s="656" t="s">
        <v>448</v>
      </c>
      <c r="N2304" s="656" t="s">
        <v>449</v>
      </c>
      <c r="O2304" s="656" t="s">
        <v>449</v>
      </c>
      <c r="P2304" s="656" t="s">
        <v>1176</v>
      </c>
      <c r="Q2304" s="657">
        <v>0</v>
      </c>
      <c r="R2304" s="657">
        <v>0</v>
      </c>
      <c r="S2304" s="657">
        <v>6103</v>
      </c>
      <c r="T2304" s="657">
        <v>6103</v>
      </c>
      <c r="U2304" s="657">
        <v>690</v>
      </c>
      <c r="V2304" s="655">
        <v>2021</v>
      </c>
      <c r="W2304" s="659"/>
      <c r="X2304" s="660">
        <f t="shared" si="107"/>
        <v>8.844927536231884</v>
      </c>
      <c r="Y2304" s="661" t="str">
        <f t="shared" si="105"/>
        <v/>
      </c>
      <c r="Z2304" s="661" t="str">
        <f t="shared" si="106"/>
        <v/>
      </c>
    </row>
    <row r="2305" spans="1:26" s="128" customFormat="1" ht="25" hidden="1">
      <c r="A2305" s="655">
        <v>64748</v>
      </c>
      <c r="B2305" s="656" t="s">
        <v>33</v>
      </c>
      <c r="C2305" s="655" t="s">
        <v>2793</v>
      </c>
      <c r="D2305" s="656" t="s">
        <v>3349</v>
      </c>
      <c r="E2305" s="656" t="s">
        <v>3350</v>
      </c>
      <c r="F2305" s="655">
        <v>64309</v>
      </c>
      <c r="G2305" s="656" t="s">
        <v>57</v>
      </c>
      <c r="H2305" s="656" t="s">
        <v>1182</v>
      </c>
      <c r="I2305" s="656" t="s">
        <v>58</v>
      </c>
      <c r="J2305" s="655">
        <v>22</v>
      </c>
      <c r="K2305" s="655">
        <v>2</v>
      </c>
      <c r="L2305" s="656" t="s">
        <v>52</v>
      </c>
      <c r="M2305" s="656" t="s">
        <v>1255</v>
      </c>
      <c r="N2305" s="656" t="s">
        <v>39</v>
      </c>
      <c r="O2305" s="656" t="s">
        <v>39</v>
      </c>
      <c r="P2305" s="656" t="s">
        <v>1037</v>
      </c>
      <c r="Q2305" s="657">
        <v>193918</v>
      </c>
      <c r="R2305" s="657">
        <v>193918</v>
      </c>
      <c r="S2305" s="657">
        <v>193918</v>
      </c>
      <c r="T2305" s="657">
        <v>193918</v>
      </c>
      <c r="U2305" s="657">
        <v>30997</v>
      </c>
      <c r="V2305" s="655">
        <v>2021</v>
      </c>
      <c r="W2305" s="659"/>
      <c r="X2305" s="660">
        <f t="shared" si="107"/>
        <v>6.2560247765912829</v>
      </c>
      <c r="Y2305" s="661" t="str">
        <f t="shared" si="105"/>
        <v/>
      </c>
      <c r="Z2305" s="661" t="str">
        <f t="shared" si="106"/>
        <v/>
      </c>
    </row>
    <row r="2306" spans="1:26" s="128" customFormat="1" ht="25" hidden="1">
      <c r="A2306" s="655">
        <v>64749</v>
      </c>
      <c r="B2306" s="656" t="s">
        <v>33</v>
      </c>
      <c r="C2306" s="655" t="s">
        <v>2793</v>
      </c>
      <c r="D2306" s="656" t="s">
        <v>3351</v>
      </c>
      <c r="E2306" s="656" t="s">
        <v>3350</v>
      </c>
      <c r="F2306" s="655">
        <v>64309</v>
      </c>
      <c r="G2306" s="656" t="s">
        <v>57</v>
      </c>
      <c r="H2306" s="656" t="s">
        <v>1182</v>
      </c>
      <c r="I2306" s="656" t="s">
        <v>58</v>
      </c>
      <c r="J2306" s="655">
        <v>22</v>
      </c>
      <c r="K2306" s="655">
        <v>2</v>
      </c>
      <c r="L2306" s="656" t="s">
        <v>52</v>
      </c>
      <c r="M2306" s="656" t="s">
        <v>1255</v>
      </c>
      <c r="N2306" s="656" t="s">
        <v>39</v>
      </c>
      <c r="O2306" s="656" t="s">
        <v>39</v>
      </c>
      <c r="P2306" s="656" t="s">
        <v>1037</v>
      </c>
      <c r="Q2306" s="657">
        <v>219719</v>
      </c>
      <c r="R2306" s="657">
        <v>219719</v>
      </c>
      <c r="S2306" s="657">
        <v>219719</v>
      </c>
      <c r="T2306" s="657">
        <v>219719</v>
      </c>
      <c r="U2306" s="657">
        <v>35009</v>
      </c>
      <c r="V2306" s="655">
        <v>2021</v>
      </c>
      <c r="W2306" s="659"/>
      <c r="X2306" s="660">
        <f t="shared" si="107"/>
        <v>6.2760718672341396</v>
      </c>
      <c r="Y2306" s="661" t="str">
        <f t="shared" si="105"/>
        <v/>
      </c>
      <c r="Z2306" s="661" t="str">
        <f t="shared" si="106"/>
        <v/>
      </c>
    </row>
    <row r="2307" spans="1:26" s="128" customFormat="1" ht="25" hidden="1">
      <c r="A2307" s="655">
        <v>64753</v>
      </c>
      <c r="B2307" s="656" t="s">
        <v>33</v>
      </c>
      <c r="C2307" s="655" t="s">
        <v>2793</v>
      </c>
      <c r="D2307" s="656" t="s">
        <v>3352</v>
      </c>
      <c r="E2307" s="656" t="s">
        <v>3042</v>
      </c>
      <c r="F2307" s="655">
        <v>62150</v>
      </c>
      <c r="G2307" s="656" t="s">
        <v>41</v>
      </c>
      <c r="H2307" s="656" t="s">
        <v>1183</v>
      </c>
      <c r="I2307" s="656" t="s">
        <v>58</v>
      </c>
      <c r="J2307" s="655">
        <v>22</v>
      </c>
      <c r="K2307" s="655">
        <v>2</v>
      </c>
      <c r="L2307" s="656" t="s">
        <v>52</v>
      </c>
      <c r="M2307" s="656" t="s">
        <v>1255</v>
      </c>
      <c r="N2307" s="656" t="s">
        <v>39</v>
      </c>
      <c r="O2307" s="656" t="s">
        <v>39</v>
      </c>
      <c r="P2307" s="656" t="s">
        <v>1037</v>
      </c>
      <c r="Q2307" s="657">
        <v>55770</v>
      </c>
      <c r="R2307" s="657">
        <v>55770</v>
      </c>
      <c r="S2307" s="657">
        <v>57442</v>
      </c>
      <c r="T2307" s="657">
        <v>57442</v>
      </c>
      <c r="U2307" s="657">
        <v>7823</v>
      </c>
      <c r="V2307" s="655">
        <v>2021</v>
      </c>
      <c r="W2307" s="659"/>
      <c r="X2307" s="660">
        <f t="shared" si="107"/>
        <v>7.3427074012527163</v>
      </c>
      <c r="Y2307" s="661" t="str">
        <f t="shared" si="105"/>
        <v/>
      </c>
      <c r="Z2307" s="661" t="str">
        <f t="shared" si="106"/>
        <v/>
      </c>
    </row>
    <row r="2308" spans="1:26" s="128" customFormat="1" hidden="1">
      <c r="A2308" s="655">
        <v>64781</v>
      </c>
      <c r="B2308" s="656" t="s">
        <v>33</v>
      </c>
      <c r="C2308" s="655" t="s">
        <v>2793</v>
      </c>
      <c r="D2308" s="656" t="s">
        <v>3525</v>
      </c>
      <c r="E2308" s="656" t="s">
        <v>3526</v>
      </c>
      <c r="F2308" s="655">
        <v>64327</v>
      </c>
      <c r="G2308" s="656" t="s">
        <v>131</v>
      </c>
      <c r="H2308" s="656" t="s">
        <v>1183</v>
      </c>
      <c r="I2308" s="656" t="s">
        <v>58</v>
      </c>
      <c r="J2308" s="655">
        <v>22</v>
      </c>
      <c r="K2308" s="655">
        <v>2</v>
      </c>
      <c r="L2308" s="656" t="s">
        <v>52</v>
      </c>
      <c r="M2308" s="656" t="s">
        <v>448</v>
      </c>
      <c r="N2308" s="656" t="s">
        <v>449</v>
      </c>
      <c r="O2308" s="656" t="s">
        <v>449</v>
      </c>
      <c r="P2308" s="656" t="s">
        <v>1176</v>
      </c>
      <c r="Q2308" s="657">
        <v>0</v>
      </c>
      <c r="R2308" s="657">
        <v>0</v>
      </c>
      <c r="S2308" s="657">
        <v>60946</v>
      </c>
      <c r="T2308" s="657">
        <v>60946</v>
      </c>
      <c r="U2308" s="657">
        <v>6892</v>
      </c>
      <c r="V2308" s="655">
        <v>2021</v>
      </c>
      <c r="W2308" s="659"/>
      <c r="X2308" s="660">
        <f t="shared" si="107"/>
        <v>8.8430063842135809</v>
      </c>
      <c r="Y2308" s="661" t="str">
        <f t="shared" si="105"/>
        <v/>
      </c>
      <c r="Z2308" s="661" t="str">
        <f t="shared" si="106"/>
        <v/>
      </c>
    </row>
    <row r="2309" spans="1:26" s="128" customFormat="1" hidden="1">
      <c r="A2309" s="655">
        <v>64782</v>
      </c>
      <c r="B2309" s="656" t="s">
        <v>33</v>
      </c>
      <c r="C2309" s="655" t="s">
        <v>2793</v>
      </c>
      <c r="D2309" s="656" t="s">
        <v>3527</v>
      </c>
      <c r="E2309" s="656" t="s">
        <v>3528</v>
      </c>
      <c r="F2309" s="655">
        <v>64328</v>
      </c>
      <c r="G2309" s="656" t="s">
        <v>131</v>
      </c>
      <c r="H2309" s="656" t="s">
        <v>1183</v>
      </c>
      <c r="I2309" s="656" t="s">
        <v>58</v>
      </c>
      <c r="J2309" s="655">
        <v>22</v>
      </c>
      <c r="K2309" s="655">
        <v>2</v>
      </c>
      <c r="L2309" s="656" t="s">
        <v>52</v>
      </c>
      <c r="M2309" s="656" t="s">
        <v>448</v>
      </c>
      <c r="N2309" s="656" t="s">
        <v>449</v>
      </c>
      <c r="O2309" s="656" t="s">
        <v>449</v>
      </c>
      <c r="P2309" s="656" t="s">
        <v>1176</v>
      </c>
      <c r="Q2309" s="657">
        <v>0</v>
      </c>
      <c r="R2309" s="657">
        <v>0</v>
      </c>
      <c r="S2309" s="657">
        <v>27439</v>
      </c>
      <c r="T2309" s="657">
        <v>27439</v>
      </c>
      <c r="U2309" s="657">
        <v>3103</v>
      </c>
      <c r="V2309" s="655">
        <v>2021</v>
      </c>
      <c r="W2309" s="659"/>
      <c r="X2309" s="660">
        <f t="shared" si="107"/>
        <v>8.8427328391878834</v>
      </c>
      <c r="Y2309" s="661" t="str">
        <f t="shared" si="105"/>
        <v/>
      </c>
      <c r="Z2309" s="661" t="str">
        <f t="shared" si="106"/>
        <v/>
      </c>
    </row>
    <row r="2310" spans="1:26" s="128" customFormat="1" ht="25" hidden="1">
      <c r="A2310" s="655">
        <v>64783</v>
      </c>
      <c r="B2310" s="656" t="s">
        <v>33</v>
      </c>
      <c r="C2310" s="655" t="s">
        <v>2793</v>
      </c>
      <c r="D2310" s="656" t="s">
        <v>3529</v>
      </c>
      <c r="E2310" s="656" t="s">
        <v>3530</v>
      </c>
      <c r="F2310" s="655">
        <v>64330</v>
      </c>
      <c r="G2310" s="656" t="s">
        <v>131</v>
      </c>
      <c r="H2310" s="656" t="s">
        <v>1183</v>
      </c>
      <c r="I2310" s="656" t="s">
        <v>58</v>
      </c>
      <c r="J2310" s="655">
        <v>22</v>
      </c>
      <c r="K2310" s="655">
        <v>2</v>
      </c>
      <c r="L2310" s="656" t="s">
        <v>52</v>
      </c>
      <c r="M2310" s="656" t="s">
        <v>448</v>
      </c>
      <c r="N2310" s="656" t="s">
        <v>449</v>
      </c>
      <c r="O2310" s="656" t="s">
        <v>449</v>
      </c>
      <c r="P2310" s="656" t="s">
        <v>1176</v>
      </c>
      <c r="Q2310" s="657">
        <v>0</v>
      </c>
      <c r="R2310" s="657">
        <v>0</v>
      </c>
      <c r="S2310" s="657">
        <v>30695</v>
      </c>
      <c r="T2310" s="657">
        <v>30695</v>
      </c>
      <c r="U2310" s="657">
        <v>3471</v>
      </c>
      <c r="V2310" s="655">
        <v>2021</v>
      </c>
      <c r="W2310" s="659"/>
      <c r="X2310" s="660">
        <f t="shared" si="107"/>
        <v>8.8432728320368774</v>
      </c>
      <c r="Y2310" s="661" t="str">
        <f t="shared" si="105"/>
        <v/>
      </c>
      <c r="Z2310" s="661" t="str">
        <f t="shared" si="106"/>
        <v/>
      </c>
    </row>
    <row r="2311" spans="1:26" s="128" customFormat="1" hidden="1">
      <c r="A2311" s="655">
        <v>64788</v>
      </c>
      <c r="B2311" s="656" t="s">
        <v>33</v>
      </c>
      <c r="C2311" s="655" t="s">
        <v>2793</v>
      </c>
      <c r="D2311" s="656" t="s">
        <v>3531</v>
      </c>
      <c r="E2311" s="656" t="s">
        <v>3532</v>
      </c>
      <c r="F2311" s="655">
        <v>64334</v>
      </c>
      <c r="G2311" s="656" t="s">
        <v>57</v>
      </c>
      <c r="H2311" s="656" t="s">
        <v>1182</v>
      </c>
      <c r="I2311" s="656" t="s">
        <v>58</v>
      </c>
      <c r="J2311" s="655">
        <v>22</v>
      </c>
      <c r="K2311" s="655">
        <v>2</v>
      </c>
      <c r="L2311" s="656" t="s">
        <v>52</v>
      </c>
      <c r="M2311" s="656" t="s">
        <v>448</v>
      </c>
      <c r="N2311" s="656" t="s">
        <v>449</v>
      </c>
      <c r="O2311" s="656" t="s">
        <v>449</v>
      </c>
      <c r="P2311" s="656" t="s">
        <v>1176</v>
      </c>
      <c r="Q2311" s="657">
        <v>0</v>
      </c>
      <c r="R2311" s="657">
        <v>0</v>
      </c>
      <c r="S2311" s="657">
        <v>19092</v>
      </c>
      <c r="T2311" s="657">
        <v>19092</v>
      </c>
      <c r="U2311" s="657">
        <v>2159</v>
      </c>
      <c r="V2311" s="655">
        <v>2021</v>
      </c>
      <c r="W2311" s="659"/>
      <c r="X2311" s="660">
        <f t="shared" si="107"/>
        <v>8.8429828624363136</v>
      </c>
      <c r="Y2311" s="661" t="str">
        <f t="shared" ref="Y2311:Y2374" si="108">IF(AND($M2311=$Y$2,$N2311=$Y$3,NOT($Q2311=$R2311),NOT($U2311=0)),IF($K2311=5,$S2311/($U2311+(8/5)*$U2311),IF($K2311=7,$S2311/($U2311+(29/25)*$U2311),"")),"")</f>
        <v/>
      </c>
      <c r="Z2311" s="661" t="str">
        <f t="shared" ref="Z2311:Z2374" si="109">IF(AND($M2311=$Y$2,$N2311=$Y$4,NOT($Q2311=$R2311),NOT($U2311=0)),IF($K2311=5,$S2311/($U2311+(8/5)*$U2311),IF($K2311=7,$S2311/($U2311+(29/25)*$U2311),"")),"")</f>
        <v/>
      </c>
    </row>
    <row r="2312" spans="1:26" s="128" customFormat="1" ht="25" hidden="1">
      <c r="A2312" s="655">
        <v>64860</v>
      </c>
      <c r="B2312" s="656" t="s">
        <v>33</v>
      </c>
      <c r="C2312" s="655" t="s">
        <v>2793</v>
      </c>
      <c r="D2312" s="656" t="s">
        <v>3533</v>
      </c>
      <c r="E2312" s="656" t="s">
        <v>2327</v>
      </c>
      <c r="F2312" s="655">
        <v>60025</v>
      </c>
      <c r="G2312" s="656" t="s">
        <v>89</v>
      </c>
      <c r="H2312" s="656" t="s">
        <v>1183</v>
      </c>
      <c r="I2312" s="656" t="s">
        <v>58</v>
      </c>
      <c r="J2312" s="655">
        <v>22</v>
      </c>
      <c r="K2312" s="655">
        <v>2</v>
      </c>
      <c r="L2312" s="656" t="s">
        <v>52</v>
      </c>
      <c r="M2312" s="656" t="s">
        <v>448</v>
      </c>
      <c r="N2312" s="656" t="s">
        <v>449</v>
      </c>
      <c r="O2312" s="656" t="s">
        <v>449</v>
      </c>
      <c r="P2312" s="656" t="s">
        <v>1176</v>
      </c>
      <c r="Q2312" s="657">
        <v>0</v>
      </c>
      <c r="R2312" s="657">
        <v>0</v>
      </c>
      <c r="S2312" s="657">
        <v>512</v>
      </c>
      <c r="T2312" s="657">
        <v>512</v>
      </c>
      <c r="U2312" s="657">
        <v>58</v>
      </c>
      <c r="V2312" s="655">
        <v>2021</v>
      </c>
      <c r="W2312" s="659"/>
      <c r="X2312" s="660">
        <f t="shared" ref="X2312:X2375" si="110">IF(OR(K2312&gt;3,T2312=0,NOT(U2312&gt;0)),"",T2312/U2312)</f>
        <v>8.8275862068965516</v>
      </c>
      <c r="Y2312" s="661" t="str">
        <f t="shared" si="108"/>
        <v/>
      </c>
      <c r="Z2312" s="661" t="str">
        <f t="shared" si="109"/>
        <v/>
      </c>
    </row>
    <row r="2313" spans="1:26" s="128" customFormat="1" ht="25" hidden="1">
      <c r="A2313" s="655">
        <v>64863</v>
      </c>
      <c r="B2313" s="656" t="s">
        <v>33</v>
      </c>
      <c r="C2313" s="655" t="s">
        <v>2793</v>
      </c>
      <c r="D2313" s="656" t="s">
        <v>3534</v>
      </c>
      <c r="E2313" s="656" t="s">
        <v>2327</v>
      </c>
      <c r="F2313" s="655">
        <v>60025</v>
      </c>
      <c r="G2313" s="656" t="s">
        <v>89</v>
      </c>
      <c r="H2313" s="656" t="s">
        <v>1183</v>
      </c>
      <c r="I2313" s="656" t="s">
        <v>58</v>
      </c>
      <c r="J2313" s="655">
        <v>22</v>
      </c>
      <c r="K2313" s="655">
        <v>2</v>
      </c>
      <c r="L2313" s="656" t="s">
        <v>52</v>
      </c>
      <c r="M2313" s="656" t="s">
        <v>448</v>
      </c>
      <c r="N2313" s="656" t="s">
        <v>449</v>
      </c>
      <c r="O2313" s="656" t="s">
        <v>449</v>
      </c>
      <c r="P2313" s="656" t="s">
        <v>1176</v>
      </c>
      <c r="Q2313" s="657">
        <v>0</v>
      </c>
      <c r="R2313" s="657">
        <v>0</v>
      </c>
      <c r="S2313" s="657">
        <v>690</v>
      </c>
      <c r="T2313" s="657">
        <v>690</v>
      </c>
      <c r="U2313" s="657">
        <v>78</v>
      </c>
      <c r="V2313" s="655">
        <v>2021</v>
      </c>
      <c r="W2313" s="659"/>
      <c r="X2313" s="660">
        <f t="shared" si="110"/>
        <v>8.8461538461538467</v>
      </c>
      <c r="Y2313" s="661" t="str">
        <f t="shared" si="108"/>
        <v/>
      </c>
      <c r="Z2313" s="661" t="str">
        <f t="shared" si="109"/>
        <v/>
      </c>
    </row>
    <row r="2314" spans="1:26" s="128" customFormat="1" ht="25">
      <c r="A2314" s="655">
        <v>64875</v>
      </c>
      <c r="B2314" s="656" t="s">
        <v>33</v>
      </c>
      <c r="C2314" s="655" t="s">
        <v>2793</v>
      </c>
      <c r="D2314" s="656" t="s">
        <v>3535</v>
      </c>
      <c r="E2314" s="656" t="s">
        <v>3536</v>
      </c>
      <c r="F2314" s="655">
        <v>64381</v>
      </c>
      <c r="G2314" s="656" t="s">
        <v>81</v>
      </c>
      <c r="H2314" s="656" t="s">
        <v>1183</v>
      </c>
      <c r="I2314" s="656" t="s">
        <v>58</v>
      </c>
      <c r="J2314" s="655">
        <v>22</v>
      </c>
      <c r="K2314" s="655">
        <v>2</v>
      </c>
      <c r="L2314" s="656" t="s">
        <v>52</v>
      </c>
      <c r="M2314" s="656" t="s">
        <v>1890</v>
      </c>
      <c r="N2314" s="656" t="s">
        <v>1052</v>
      </c>
      <c r="O2314" s="656" t="s">
        <v>82</v>
      </c>
      <c r="P2314" s="656" t="s">
        <v>2794</v>
      </c>
      <c r="Q2314" s="657">
        <v>0</v>
      </c>
      <c r="R2314" s="657">
        <v>0</v>
      </c>
      <c r="S2314" s="657">
        <v>0</v>
      </c>
      <c r="T2314" s="657">
        <v>0</v>
      </c>
      <c r="U2314" s="657">
        <v>0</v>
      </c>
      <c r="V2314" s="655">
        <v>2021</v>
      </c>
      <c r="W2314" s="659"/>
      <c r="X2314" s="660" t="str">
        <f t="shared" si="110"/>
        <v/>
      </c>
      <c r="Y2314" s="661" t="str">
        <f t="shared" si="108"/>
        <v/>
      </c>
      <c r="Z2314" s="661" t="str">
        <f t="shared" si="109"/>
        <v/>
      </c>
    </row>
    <row r="2315" spans="1:26" s="128" customFormat="1" ht="25">
      <c r="A2315" s="655">
        <v>64875</v>
      </c>
      <c r="B2315" s="656" t="s">
        <v>33</v>
      </c>
      <c r="C2315" s="655" t="s">
        <v>2793</v>
      </c>
      <c r="D2315" s="656" t="s">
        <v>3535</v>
      </c>
      <c r="E2315" s="656" t="s">
        <v>3536</v>
      </c>
      <c r="F2315" s="655">
        <v>64381</v>
      </c>
      <c r="G2315" s="656" t="s">
        <v>81</v>
      </c>
      <c r="H2315" s="656" t="s">
        <v>1183</v>
      </c>
      <c r="I2315" s="656" t="s">
        <v>58</v>
      </c>
      <c r="J2315" s="655">
        <v>22</v>
      </c>
      <c r="K2315" s="655">
        <v>2</v>
      </c>
      <c r="L2315" s="656" t="s">
        <v>52</v>
      </c>
      <c r="M2315" s="656" t="s">
        <v>448</v>
      </c>
      <c r="N2315" s="656" t="s">
        <v>449</v>
      </c>
      <c r="O2315" s="656" t="s">
        <v>449</v>
      </c>
      <c r="P2315" s="656" t="s">
        <v>1176</v>
      </c>
      <c r="Q2315" s="657">
        <v>0</v>
      </c>
      <c r="R2315" s="657">
        <v>0</v>
      </c>
      <c r="S2315" s="657">
        <v>9</v>
      </c>
      <c r="T2315" s="657">
        <v>9</v>
      </c>
      <c r="U2315" s="657">
        <v>1</v>
      </c>
      <c r="V2315" s="655">
        <v>2021</v>
      </c>
      <c r="W2315" s="659"/>
      <c r="X2315" s="660">
        <f t="shared" si="110"/>
        <v>9</v>
      </c>
      <c r="Y2315" s="661" t="str">
        <f t="shared" si="108"/>
        <v/>
      </c>
      <c r="Z2315" s="661" t="str">
        <f t="shared" si="109"/>
        <v/>
      </c>
    </row>
    <row r="2316" spans="1:26" s="128" customFormat="1" ht="25">
      <c r="A2316" s="655">
        <v>64876</v>
      </c>
      <c r="B2316" s="656" t="s">
        <v>33</v>
      </c>
      <c r="C2316" s="655" t="s">
        <v>2793</v>
      </c>
      <c r="D2316" s="656" t="s">
        <v>3537</v>
      </c>
      <c r="E2316" s="656" t="s">
        <v>3538</v>
      </c>
      <c r="F2316" s="655">
        <v>64380</v>
      </c>
      <c r="G2316" s="656" t="s">
        <v>81</v>
      </c>
      <c r="H2316" s="656" t="s">
        <v>1183</v>
      </c>
      <c r="I2316" s="656" t="s">
        <v>58</v>
      </c>
      <c r="J2316" s="655">
        <v>22</v>
      </c>
      <c r="K2316" s="655">
        <v>2</v>
      </c>
      <c r="L2316" s="656" t="s">
        <v>52</v>
      </c>
      <c r="M2316" s="656" t="s">
        <v>1890</v>
      </c>
      <c r="N2316" s="656" t="s">
        <v>1052</v>
      </c>
      <c r="O2316" s="656" t="s">
        <v>82</v>
      </c>
      <c r="P2316" s="656" t="s">
        <v>2794</v>
      </c>
      <c r="Q2316" s="657">
        <v>0</v>
      </c>
      <c r="R2316" s="657">
        <v>0</v>
      </c>
      <c r="S2316" s="657">
        <v>0</v>
      </c>
      <c r="T2316" s="657">
        <v>0</v>
      </c>
      <c r="U2316" s="657">
        <v>0</v>
      </c>
      <c r="V2316" s="655">
        <v>2021</v>
      </c>
      <c r="W2316" s="659"/>
      <c r="X2316" s="660" t="str">
        <f t="shared" si="110"/>
        <v/>
      </c>
      <c r="Y2316" s="661" t="str">
        <f t="shared" si="108"/>
        <v/>
      </c>
      <c r="Z2316" s="661" t="str">
        <f t="shared" si="109"/>
        <v/>
      </c>
    </row>
    <row r="2317" spans="1:26" s="128" customFormat="1">
      <c r="A2317" s="655">
        <v>64876</v>
      </c>
      <c r="B2317" s="656" t="s">
        <v>33</v>
      </c>
      <c r="C2317" s="655" t="s">
        <v>2793</v>
      </c>
      <c r="D2317" s="656" t="s">
        <v>3537</v>
      </c>
      <c r="E2317" s="656" t="s">
        <v>3538</v>
      </c>
      <c r="F2317" s="655">
        <v>64380</v>
      </c>
      <c r="G2317" s="656" t="s">
        <v>81</v>
      </c>
      <c r="H2317" s="656" t="s">
        <v>1183</v>
      </c>
      <c r="I2317" s="656" t="s">
        <v>58</v>
      </c>
      <c r="J2317" s="655">
        <v>22</v>
      </c>
      <c r="K2317" s="655">
        <v>2</v>
      </c>
      <c r="L2317" s="656" t="s">
        <v>52</v>
      </c>
      <c r="M2317" s="656" t="s">
        <v>448</v>
      </c>
      <c r="N2317" s="656" t="s">
        <v>449</v>
      </c>
      <c r="O2317" s="656" t="s">
        <v>449</v>
      </c>
      <c r="P2317" s="656" t="s">
        <v>1176</v>
      </c>
      <c r="Q2317" s="657">
        <v>0</v>
      </c>
      <c r="R2317" s="657">
        <v>0</v>
      </c>
      <c r="S2317" s="657">
        <v>0</v>
      </c>
      <c r="T2317" s="657">
        <v>0</v>
      </c>
      <c r="U2317" s="657">
        <v>0</v>
      </c>
      <c r="V2317" s="655">
        <v>2021</v>
      </c>
      <c r="W2317" s="659"/>
      <c r="X2317" s="660" t="str">
        <f t="shared" si="110"/>
        <v/>
      </c>
      <c r="Y2317" s="661" t="str">
        <f t="shared" si="108"/>
        <v/>
      </c>
      <c r="Z2317" s="661" t="str">
        <f t="shared" si="109"/>
        <v/>
      </c>
    </row>
    <row r="2318" spans="1:26" s="128" customFormat="1" ht="25">
      <c r="A2318" s="655">
        <v>64970</v>
      </c>
      <c r="B2318" s="656" t="s">
        <v>33</v>
      </c>
      <c r="C2318" s="655" t="s">
        <v>2793</v>
      </c>
      <c r="D2318" s="656" t="s">
        <v>3539</v>
      </c>
      <c r="E2318" s="656" t="s">
        <v>3540</v>
      </c>
      <c r="F2318" s="655">
        <v>64417</v>
      </c>
      <c r="G2318" s="656" t="s">
        <v>81</v>
      </c>
      <c r="H2318" s="656" t="s">
        <v>1183</v>
      </c>
      <c r="I2318" s="656" t="s">
        <v>1176</v>
      </c>
      <c r="J2318" s="655">
        <v>22</v>
      </c>
      <c r="K2318" s="655">
        <v>2</v>
      </c>
      <c r="L2318" s="656" t="s">
        <v>52</v>
      </c>
      <c r="M2318" s="656" t="s">
        <v>1890</v>
      </c>
      <c r="N2318" s="656" t="s">
        <v>1052</v>
      </c>
      <c r="O2318" s="656" t="s">
        <v>82</v>
      </c>
      <c r="P2318" s="656" t="s">
        <v>2794</v>
      </c>
      <c r="Q2318" s="657">
        <v>0</v>
      </c>
      <c r="R2318" s="657">
        <v>0</v>
      </c>
      <c r="S2318" s="657">
        <v>0</v>
      </c>
      <c r="T2318" s="657">
        <v>0</v>
      </c>
      <c r="U2318" s="657">
        <v>0</v>
      </c>
      <c r="V2318" s="655">
        <v>2021</v>
      </c>
      <c r="W2318" s="659"/>
      <c r="X2318" s="660" t="str">
        <f t="shared" si="110"/>
        <v/>
      </c>
      <c r="Y2318" s="661" t="str">
        <f t="shared" si="108"/>
        <v/>
      </c>
      <c r="Z2318" s="661" t="str">
        <f t="shared" si="109"/>
        <v/>
      </c>
    </row>
    <row r="2319" spans="1:26" s="128" customFormat="1">
      <c r="A2319" s="655">
        <v>64970</v>
      </c>
      <c r="B2319" s="656" t="s">
        <v>33</v>
      </c>
      <c r="C2319" s="655" t="s">
        <v>2793</v>
      </c>
      <c r="D2319" s="656" t="s">
        <v>3539</v>
      </c>
      <c r="E2319" s="656" t="s">
        <v>3540</v>
      </c>
      <c r="F2319" s="655">
        <v>64417</v>
      </c>
      <c r="G2319" s="656" t="s">
        <v>81</v>
      </c>
      <c r="H2319" s="656" t="s">
        <v>1183</v>
      </c>
      <c r="I2319" s="656" t="s">
        <v>1176</v>
      </c>
      <c r="J2319" s="655">
        <v>22</v>
      </c>
      <c r="K2319" s="655">
        <v>2</v>
      </c>
      <c r="L2319" s="656" t="s">
        <v>52</v>
      </c>
      <c r="M2319" s="656" t="s">
        <v>448</v>
      </c>
      <c r="N2319" s="656" t="s">
        <v>449</v>
      </c>
      <c r="O2319" s="656" t="s">
        <v>449</v>
      </c>
      <c r="P2319" s="656" t="s">
        <v>1176</v>
      </c>
      <c r="Q2319" s="657">
        <v>0</v>
      </c>
      <c r="R2319" s="657">
        <v>0</v>
      </c>
      <c r="S2319" s="657">
        <v>9</v>
      </c>
      <c r="T2319" s="657">
        <v>9</v>
      </c>
      <c r="U2319" s="657">
        <v>1</v>
      </c>
      <c r="V2319" s="655">
        <v>2021</v>
      </c>
      <c r="W2319" s="659"/>
      <c r="X2319" s="660">
        <f t="shared" si="110"/>
        <v>9</v>
      </c>
      <c r="Y2319" s="661" t="str">
        <f t="shared" si="108"/>
        <v/>
      </c>
      <c r="Z2319" s="661" t="str">
        <f t="shared" si="109"/>
        <v/>
      </c>
    </row>
    <row r="2320" spans="1:26" s="128" customFormat="1" ht="25" hidden="1">
      <c r="A2320" s="655">
        <v>64975</v>
      </c>
      <c r="B2320" s="656" t="s">
        <v>33</v>
      </c>
      <c r="C2320" s="655" t="s">
        <v>2793</v>
      </c>
      <c r="D2320" s="656" t="s">
        <v>3541</v>
      </c>
      <c r="E2320" s="656" t="s">
        <v>2327</v>
      </c>
      <c r="F2320" s="655">
        <v>60025</v>
      </c>
      <c r="G2320" s="656" t="s">
        <v>89</v>
      </c>
      <c r="H2320" s="656" t="s">
        <v>1183</v>
      </c>
      <c r="I2320" s="656" t="s">
        <v>1176</v>
      </c>
      <c r="J2320" s="655">
        <v>22</v>
      </c>
      <c r="K2320" s="655">
        <v>2</v>
      </c>
      <c r="L2320" s="656" t="s">
        <v>52</v>
      </c>
      <c r="M2320" s="656" t="s">
        <v>448</v>
      </c>
      <c r="N2320" s="656" t="s">
        <v>449</v>
      </c>
      <c r="O2320" s="656" t="s">
        <v>449</v>
      </c>
      <c r="P2320" s="656" t="s">
        <v>1176</v>
      </c>
      <c r="Q2320" s="657">
        <v>0</v>
      </c>
      <c r="R2320" s="657">
        <v>0</v>
      </c>
      <c r="S2320" s="657">
        <v>5784</v>
      </c>
      <c r="T2320" s="657">
        <v>5784</v>
      </c>
      <c r="U2320" s="657">
        <v>654</v>
      </c>
      <c r="V2320" s="655">
        <v>2021</v>
      </c>
      <c r="W2320" s="659"/>
      <c r="X2320" s="660">
        <f t="shared" si="110"/>
        <v>8.8440366972477058</v>
      </c>
      <c r="Y2320" s="661" t="str">
        <f t="shared" si="108"/>
        <v/>
      </c>
      <c r="Z2320" s="661" t="str">
        <f t="shared" si="109"/>
        <v/>
      </c>
    </row>
    <row r="2321" spans="1:26" s="128" customFormat="1" hidden="1">
      <c r="A2321" s="655">
        <v>64977</v>
      </c>
      <c r="B2321" s="656" t="s">
        <v>33</v>
      </c>
      <c r="C2321" s="655" t="s">
        <v>2793</v>
      </c>
      <c r="D2321" s="656" t="s">
        <v>3542</v>
      </c>
      <c r="E2321" s="656" t="s">
        <v>3543</v>
      </c>
      <c r="F2321" s="655">
        <v>64426</v>
      </c>
      <c r="G2321" s="656" t="s">
        <v>41</v>
      </c>
      <c r="H2321" s="656" t="s">
        <v>1183</v>
      </c>
      <c r="I2321" s="656" t="s">
        <v>1176</v>
      </c>
      <c r="J2321" s="655">
        <v>22</v>
      </c>
      <c r="K2321" s="655">
        <v>2</v>
      </c>
      <c r="L2321" s="656" t="s">
        <v>52</v>
      </c>
      <c r="M2321" s="656" t="s">
        <v>448</v>
      </c>
      <c r="N2321" s="656" t="s">
        <v>449</v>
      </c>
      <c r="O2321" s="656" t="s">
        <v>449</v>
      </c>
      <c r="P2321" s="656" t="s">
        <v>1176</v>
      </c>
      <c r="Q2321" s="657">
        <v>0</v>
      </c>
      <c r="R2321" s="657">
        <v>0</v>
      </c>
      <c r="S2321" s="657">
        <v>21330</v>
      </c>
      <c r="T2321" s="657">
        <v>21330</v>
      </c>
      <c r="U2321" s="657">
        <v>2412</v>
      </c>
      <c r="V2321" s="655">
        <v>2021</v>
      </c>
      <c r="W2321" s="659"/>
      <c r="X2321" s="660">
        <f t="shared" si="110"/>
        <v>8.843283582089553</v>
      </c>
      <c r="Y2321" s="661" t="str">
        <f t="shared" si="108"/>
        <v/>
      </c>
      <c r="Z2321" s="661" t="str">
        <f t="shared" si="109"/>
        <v/>
      </c>
    </row>
    <row r="2322" spans="1:26" s="128" customFormat="1" hidden="1">
      <c r="A2322" s="655">
        <v>64978</v>
      </c>
      <c r="B2322" s="656" t="s">
        <v>33</v>
      </c>
      <c r="C2322" s="655" t="s">
        <v>2793</v>
      </c>
      <c r="D2322" s="656" t="s">
        <v>3544</v>
      </c>
      <c r="E2322" s="656" t="s">
        <v>3543</v>
      </c>
      <c r="F2322" s="655">
        <v>64426</v>
      </c>
      <c r="G2322" s="656" t="s">
        <v>41</v>
      </c>
      <c r="H2322" s="656" t="s">
        <v>1183</v>
      </c>
      <c r="I2322" s="656" t="s">
        <v>1176</v>
      </c>
      <c r="J2322" s="655">
        <v>22</v>
      </c>
      <c r="K2322" s="655">
        <v>2</v>
      </c>
      <c r="L2322" s="656" t="s">
        <v>52</v>
      </c>
      <c r="M2322" s="656" t="s">
        <v>448</v>
      </c>
      <c r="N2322" s="656" t="s">
        <v>449</v>
      </c>
      <c r="O2322" s="656" t="s">
        <v>449</v>
      </c>
      <c r="P2322" s="656" t="s">
        <v>1176</v>
      </c>
      <c r="Q2322" s="657">
        <v>0</v>
      </c>
      <c r="R2322" s="657">
        <v>0</v>
      </c>
      <c r="S2322" s="657">
        <v>24442</v>
      </c>
      <c r="T2322" s="657">
        <v>24442</v>
      </c>
      <c r="U2322" s="657">
        <v>2764</v>
      </c>
      <c r="V2322" s="655">
        <v>2021</v>
      </c>
      <c r="W2322" s="659"/>
      <c r="X2322" s="660">
        <f t="shared" si="110"/>
        <v>8.8429811866859627</v>
      </c>
      <c r="Y2322" s="661" t="str">
        <f t="shared" si="108"/>
        <v/>
      </c>
      <c r="Z2322" s="661" t="str">
        <f t="shared" si="109"/>
        <v/>
      </c>
    </row>
    <row r="2323" spans="1:26" s="128" customFormat="1" hidden="1">
      <c r="A2323" s="655">
        <v>64979</v>
      </c>
      <c r="B2323" s="656" t="s">
        <v>33</v>
      </c>
      <c r="C2323" s="655" t="s">
        <v>2793</v>
      </c>
      <c r="D2323" s="656" t="s">
        <v>3545</v>
      </c>
      <c r="E2323" s="656" t="s">
        <v>3543</v>
      </c>
      <c r="F2323" s="655">
        <v>64426</v>
      </c>
      <c r="G2323" s="656" t="s">
        <v>41</v>
      </c>
      <c r="H2323" s="656" t="s">
        <v>1183</v>
      </c>
      <c r="I2323" s="656" t="s">
        <v>1176</v>
      </c>
      <c r="J2323" s="655">
        <v>22</v>
      </c>
      <c r="K2323" s="655">
        <v>2</v>
      </c>
      <c r="L2323" s="656" t="s">
        <v>52</v>
      </c>
      <c r="M2323" s="656" t="s">
        <v>448</v>
      </c>
      <c r="N2323" s="656" t="s">
        <v>449</v>
      </c>
      <c r="O2323" s="656" t="s">
        <v>449</v>
      </c>
      <c r="P2323" s="656" t="s">
        <v>1176</v>
      </c>
      <c r="Q2323" s="657">
        <v>0</v>
      </c>
      <c r="R2323" s="657">
        <v>0</v>
      </c>
      <c r="S2323" s="657">
        <v>11435</v>
      </c>
      <c r="T2323" s="657">
        <v>11435</v>
      </c>
      <c r="U2323" s="657">
        <v>1293</v>
      </c>
      <c r="V2323" s="655">
        <v>2021</v>
      </c>
      <c r="W2323" s="659"/>
      <c r="X2323" s="660">
        <f t="shared" si="110"/>
        <v>8.8437741686001541</v>
      </c>
      <c r="Y2323" s="661" t="str">
        <f t="shared" si="108"/>
        <v/>
      </c>
      <c r="Z2323" s="661" t="str">
        <f t="shared" si="109"/>
        <v/>
      </c>
    </row>
    <row r="2324" spans="1:26" s="128" customFormat="1" ht="25" hidden="1">
      <c r="A2324" s="655">
        <v>64980</v>
      </c>
      <c r="B2324" s="656" t="s">
        <v>33</v>
      </c>
      <c r="C2324" s="655" t="s">
        <v>2793</v>
      </c>
      <c r="D2324" s="656" t="s">
        <v>3546</v>
      </c>
      <c r="E2324" s="656" t="s">
        <v>3546</v>
      </c>
      <c r="F2324" s="655">
        <v>64427</v>
      </c>
      <c r="G2324" s="656" t="s">
        <v>81</v>
      </c>
      <c r="H2324" s="656" t="s">
        <v>1183</v>
      </c>
      <c r="I2324" s="656" t="s">
        <v>1176</v>
      </c>
      <c r="J2324" s="655">
        <v>611</v>
      </c>
      <c r="K2324" s="655">
        <v>4</v>
      </c>
      <c r="L2324" s="656" t="s">
        <v>412</v>
      </c>
      <c r="M2324" s="656" t="s">
        <v>1890</v>
      </c>
      <c r="N2324" s="656" t="s">
        <v>1052</v>
      </c>
      <c r="O2324" s="656" t="s">
        <v>82</v>
      </c>
      <c r="P2324" s="656" t="s">
        <v>2794</v>
      </c>
      <c r="Q2324" s="657">
        <v>0</v>
      </c>
      <c r="R2324" s="657">
        <v>0</v>
      </c>
      <c r="S2324" s="657">
        <v>0</v>
      </c>
      <c r="T2324" s="657">
        <v>0</v>
      </c>
      <c r="U2324" s="657">
        <v>234</v>
      </c>
      <c r="V2324" s="655">
        <v>2021</v>
      </c>
      <c r="W2324" s="659"/>
      <c r="X2324" s="660" t="str">
        <f t="shared" si="110"/>
        <v/>
      </c>
      <c r="Y2324" s="661" t="str">
        <f t="shared" si="108"/>
        <v/>
      </c>
      <c r="Z2324" s="661" t="str">
        <f t="shared" si="109"/>
        <v/>
      </c>
    </row>
    <row r="2325" spans="1:26" s="128" customFormat="1" ht="25" hidden="1">
      <c r="A2325" s="655">
        <v>64980</v>
      </c>
      <c r="B2325" s="656" t="s">
        <v>33</v>
      </c>
      <c r="C2325" s="655" t="s">
        <v>2793</v>
      </c>
      <c r="D2325" s="656" t="s">
        <v>3546</v>
      </c>
      <c r="E2325" s="656" t="s">
        <v>3546</v>
      </c>
      <c r="F2325" s="655">
        <v>64427</v>
      </c>
      <c r="G2325" s="656" t="s">
        <v>81</v>
      </c>
      <c r="H2325" s="656" t="s">
        <v>1183</v>
      </c>
      <c r="I2325" s="656" t="s">
        <v>1176</v>
      </c>
      <c r="J2325" s="655">
        <v>611</v>
      </c>
      <c r="K2325" s="655">
        <v>4</v>
      </c>
      <c r="L2325" s="656" t="s">
        <v>412</v>
      </c>
      <c r="M2325" s="656" t="s">
        <v>51</v>
      </c>
      <c r="N2325" s="656" t="s">
        <v>46</v>
      </c>
      <c r="O2325" s="656" t="s">
        <v>46</v>
      </c>
      <c r="P2325" s="656" t="s">
        <v>47</v>
      </c>
      <c r="Q2325" s="657">
        <v>118</v>
      </c>
      <c r="R2325" s="657">
        <v>118</v>
      </c>
      <c r="S2325" s="657">
        <v>684</v>
      </c>
      <c r="T2325" s="657">
        <v>684</v>
      </c>
      <c r="U2325" s="657">
        <v>62</v>
      </c>
      <c r="V2325" s="655">
        <v>2021</v>
      </c>
      <c r="W2325" s="659"/>
      <c r="X2325" s="660" t="str">
        <f t="shared" si="110"/>
        <v/>
      </c>
      <c r="Y2325" s="661" t="str">
        <f t="shared" si="108"/>
        <v/>
      </c>
      <c r="Z2325" s="661" t="str">
        <f t="shared" si="109"/>
        <v/>
      </c>
    </row>
    <row r="2326" spans="1:26" s="128" customFormat="1" ht="25" hidden="1">
      <c r="A2326" s="655">
        <v>64980</v>
      </c>
      <c r="B2326" s="656" t="s">
        <v>33</v>
      </c>
      <c r="C2326" s="655" t="s">
        <v>2793</v>
      </c>
      <c r="D2326" s="656" t="s">
        <v>3546</v>
      </c>
      <c r="E2326" s="656" t="s">
        <v>3546</v>
      </c>
      <c r="F2326" s="655">
        <v>64427</v>
      </c>
      <c r="G2326" s="656" t="s">
        <v>81</v>
      </c>
      <c r="H2326" s="656" t="s">
        <v>1183</v>
      </c>
      <c r="I2326" s="656" t="s">
        <v>1176</v>
      </c>
      <c r="J2326" s="655">
        <v>611</v>
      </c>
      <c r="K2326" s="655">
        <v>4</v>
      </c>
      <c r="L2326" s="656" t="s">
        <v>412</v>
      </c>
      <c r="M2326" s="656" t="s">
        <v>448</v>
      </c>
      <c r="N2326" s="656" t="s">
        <v>449</v>
      </c>
      <c r="O2326" s="656" t="s">
        <v>449</v>
      </c>
      <c r="P2326" s="656" t="s">
        <v>1176</v>
      </c>
      <c r="Q2326" s="657">
        <v>0</v>
      </c>
      <c r="R2326" s="657">
        <v>0</v>
      </c>
      <c r="S2326" s="657">
        <v>9435</v>
      </c>
      <c r="T2326" s="657">
        <v>9435</v>
      </c>
      <c r="U2326" s="657">
        <v>1067</v>
      </c>
      <c r="V2326" s="655">
        <v>2021</v>
      </c>
      <c r="W2326" s="659"/>
      <c r="X2326" s="660" t="str">
        <f t="shared" si="110"/>
        <v/>
      </c>
      <c r="Y2326" s="661" t="str">
        <f t="shared" si="108"/>
        <v/>
      </c>
      <c r="Z2326" s="661" t="str">
        <f t="shared" si="109"/>
        <v/>
      </c>
    </row>
    <row r="2327" spans="1:26" s="128" customFormat="1" ht="25">
      <c r="A2327" s="655">
        <v>65054</v>
      </c>
      <c r="B2327" s="656" t="s">
        <v>33</v>
      </c>
      <c r="C2327" s="655" t="s">
        <v>2793</v>
      </c>
      <c r="D2327" s="656" t="s">
        <v>3547</v>
      </c>
      <c r="E2327" s="656" t="s">
        <v>3548</v>
      </c>
      <c r="F2327" s="655">
        <v>64470</v>
      </c>
      <c r="G2327" s="656" t="s">
        <v>81</v>
      </c>
      <c r="H2327" s="656" t="s">
        <v>1183</v>
      </c>
      <c r="I2327" s="656" t="s">
        <v>1176</v>
      </c>
      <c r="J2327" s="655">
        <v>22</v>
      </c>
      <c r="K2327" s="655">
        <v>2</v>
      </c>
      <c r="L2327" s="656" t="s">
        <v>52</v>
      </c>
      <c r="M2327" s="656" t="s">
        <v>1890</v>
      </c>
      <c r="N2327" s="656" t="s">
        <v>1052</v>
      </c>
      <c r="O2327" s="656" t="s">
        <v>82</v>
      </c>
      <c r="P2327" s="656" t="s">
        <v>2794</v>
      </c>
      <c r="Q2327" s="657">
        <v>0</v>
      </c>
      <c r="R2327" s="657">
        <v>0</v>
      </c>
      <c r="S2327" s="657">
        <v>0</v>
      </c>
      <c r="T2327" s="657">
        <v>0</v>
      </c>
      <c r="U2327" s="657">
        <v>0</v>
      </c>
      <c r="V2327" s="655">
        <v>2021</v>
      </c>
      <c r="W2327" s="659"/>
      <c r="X2327" s="660" t="str">
        <f t="shared" si="110"/>
        <v/>
      </c>
      <c r="Y2327" s="661" t="str">
        <f t="shared" si="108"/>
        <v/>
      </c>
      <c r="Z2327" s="661" t="str">
        <f t="shared" si="109"/>
        <v/>
      </c>
    </row>
    <row r="2328" spans="1:26" s="128" customFormat="1" ht="25">
      <c r="A2328" s="655">
        <v>65054</v>
      </c>
      <c r="B2328" s="656" t="s">
        <v>33</v>
      </c>
      <c r="C2328" s="655" t="s">
        <v>2793</v>
      </c>
      <c r="D2328" s="656" t="s">
        <v>3547</v>
      </c>
      <c r="E2328" s="656" t="s">
        <v>3548</v>
      </c>
      <c r="F2328" s="655">
        <v>64470</v>
      </c>
      <c r="G2328" s="656" t="s">
        <v>81</v>
      </c>
      <c r="H2328" s="656" t="s">
        <v>1183</v>
      </c>
      <c r="I2328" s="656" t="s">
        <v>1176</v>
      </c>
      <c r="J2328" s="655">
        <v>22</v>
      </c>
      <c r="K2328" s="655">
        <v>2</v>
      </c>
      <c r="L2328" s="656" t="s">
        <v>52</v>
      </c>
      <c r="M2328" s="656" t="s">
        <v>448</v>
      </c>
      <c r="N2328" s="656" t="s">
        <v>449</v>
      </c>
      <c r="O2328" s="656" t="s">
        <v>449</v>
      </c>
      <c r="P2328" s="656" t="s">
        <v>1176</v>
      </c>
      <c r="Q2328" s="657">
        <v>0</v>
      </c>
      <c r="R2328" s="657">
        <v>0</v>
      </c>
      <c r="S2328" s="657">
        <v>0</v>
      </c>
      <c r="T2328" s="657">
        <v>0</v>
      </c>
      <c r="U2328" s="657">
        <v>0</v>
      </c>
      <c r="V2328" s="655">
        <v>2021</v>
      </c>
      <c r="W2328" s="659"/>
      <c r="X2328" s="660" t="str">
        <f t="shared" si="110"/>
        <v/>
      </c>
      <c r="Y2328" s="661" t="str">
        <f t="shared" si="108"/>
        <v/>
      </c>
      <c r="Z2328" s="661" t="str">
        <f t="shared" si="109"/>
        <v/>
      </c>
    </row>
    <row r="2329" spans="1:26" s="128" customFormat="1" ht="25">
      <c r="A2329" s="655">
        <v>65055</v>
      </c>
      <c r="B2329" s="656" t="s">
        <v>33</v>
      </c>
      <c r="C2329" s="655" t="s">
        <v>2793</v>
      </c>
      <c r="D2329" s="656" t="s">
        <v>3549</v>
      </c>
      <c r="E2329" s="656" t="s">
        <v>3550</v>
      </c>
      <c r="F2329" s="655">
        <v>64471</v>
      </c>
      <c r="G2329" s="656" t="s">
        <v>81</v>
      </c>
      <c r="H2329" s="656" t="s">
        <v>1183</v>
      </c>
      <c r="I2329" s="656" t="s">
        <v>1176</v>
      </c>
      <c r="J2329" s="655">
        <v>22</v>
      </c>
      <c r="K2329" s="655">
        <v>2</v>
      </c>
      <c r="L2329" s="656" t="s">
        <v>52</v>
      </c>
      <c r="M2329" s="656" t="s">
        <v>1890</v>
      </c>
      <c r="N2329" s="656" t="s">
        <v>1052</v>
      </c>
      <c r="O2329" s="656" t="s">
        <v>82</v>
      </c>
      <c r="P2329" s="656" t="s">
        <v>2794</v>
      </c>
      <c r="Q2329" s="657">
        <v>0</v>
      </c>
      <c r="R2329" s="657">
        <v>0</v>
      </c>
      <c r="S2329" s="657">
        <v>0</v>
      </c>
      <c r="T2329" s="657">
        <v>0</v>
      </c>
      <c r="U2329" s="657">
        <v>0</v>
      </c>
      <c r="V2329" s="655">
        <v>2021</v>
      </c>
      <c r="W2329" s="659"/>
      <c r="X2329" s="660" t="str">
        <f t="shared" si="110"/>
        <v/>
      </c>
      <c r="Y2329" s="661" t="str">
        <f t="shared" si="108"/>
        <v/>
      </c>
      <c r="Z2329" s="661" t="str">
        <f t="shared" si="109"/>
        <v/>
      </c>
    </row>
    <row r="2330" spans="1:26" s="128" customFormat="1" ht="25">
      <c r="A2330" s="655">
        <v>65055</v>
      </c>
      <c r="B2330" s="656" t="s">
        <v>33</v>
      </c>
      <c r="C2330" s="655" t="s">
        <v>2793</v>
      </c>
      <c r="D2330" s="656" t="s">
        <v>3549</v>
      </c>
      <c r="E2330" s="656" t="s">
        <v>3550</v>
      </c>
      <c r="F2330" s="655">
        <v>64471</v>
      </c>
      <c r="G2330" s="656" t="s">
        <v>81</v>
      </c>
      <c r="H2330" s="656" t="s">
        <v>1183</v>
      </c>
      <c r="I2330" s="656" t="s">
        <v>1176</v>
      </c>
      <c r="J2330" s="655">
        <v>22</v>
      </c>
      <c r="K2330" s="655">
        <v>2</v>
      </c>
      <c r="L2330" s="656" t="s">
        <v>52</v>
      </c>
      <c r="M2330" s="656" t="s">
        <v>448</v>
      </c>
      <c r="N2330" s="656" t="s">
        <v>449</v>
      </c>
      <c r="O2330" s="656" t="s">
        <v>449</v>
      </c>
      <c r="P2330" s="656" t="s">
        <v>1176</v>
      </c>
      <c r="Q2330" s="657">
        <v>0</v>
      </c>
      <c r="R2330" s="657">
        <v>0</v>
      </c>
      <c r="S2330" s="657">
        <v>0</v>
      </c>
      <c r="T2330" s="657">
        <v>0</v>
      </c>
      <c r="U2330" s="657">
        <v>0</v>
      </c>
      <c r="V2330" s="655">
        <v>2021</v>
      </c>
      <c r="W2330" s="659"/>
      <c r="X2330" s="660" t="str">
        <f t="shared" si="110"/>
        <v/>
      </c>
      <c r="Y2330" s="661" t="str">
        <f t="shared" si="108"/>
        <v/>
      </c>
      <c r="Z2330" s="661" t="str">
        <f t="shared" si="109"/>
        <v/>
      </c>
    </row>
    <row r="2331" spans="1:26" s="128" customFormat="1" ht="25">
      <c r="A2331" s="655">
        <v>65056</v>
      </c>
      <c r="B2331" s="656" t="s">
        <v>33</v>
      </c>
      <c r="C2331" s="655" t="s">
        <v>2793</v>
      </c>
      <c r="D2331" s="656" t="s">
        <v>3551</v>
      </c>
      <c r="E2331" s="656" t="s">
        <v>3552</v>
      </c>
      <c r="F2331" s="655">
        <v>64472</v>
      </c>
      <c r="G2331" s="656" t="s">
        <v>81</v>
      </c>
      <c r="H2331" s="656" t="s">
        <v>1183</v>
      </c>
      <c r="I2331" s="656" t="s">
        <v>1176</v>
      </c>
      <c r="J2331" s="655">
        <v>22</v>
      </c>
      <c r="K2331" s="655">
        <v>2</v>
      </c>
      <c r="L2331" s="656" t="s">
        <v>52</v>
      </c>
      <c r="M2331" s="656" t="s">
        <v>1890</v>
      </c>
      <c r="N2331" s="656" t="s">
        <v>1052</v>
      </c>
      <c r="O2331" s="656" t="s">
        <v>82</v>
      </c>
      <c r="P2331" s="656" t="s">
        <v>2794</v>
      </c>
      <c r="Q2331" s="657">
        <v>0</v>
      </c>
      <c r="R2331" s="657">
        <v>0</v>
      </c>
      <c r="S2331" s="657">
        <v>0</v>
      </c>
      <c r="T2331" s="657">
        <v>0</v>
      </c>
      <c r="U2331" s="657">
        <v>0</v>
      </c>
      <c r="V2331" s="655">
        <v>2021</v>
      </c>
      <c r="W2331" s="659"/>
      <c r="X2331" s="660" t="str">
        <f t="shared" si="110"/>
        <v/>
      </c>
      <c r="Y2331" s="661" t="str">
        <f t="shared" si="108"/>
        <v/>
      </c>
      <c r="Z2331" s="661" t="str">
        <f t="shared" si="109"/>
        <v/>
      </c>
    </row>
    <row r="2332" spans="1:26" s="128" customFormat="1" ht="25">
      <c r="A2332" s="655">
        <v>65056</v>
      </c>
      <c r="B2332" s="656" t="s">
        <v>33</v>
      </c>
      <c r="C2332" s="655" t="s">
        <v>2793</v>
      </c>
      <c r="D2332" s="656" t="s">
        <v>3551</v>
      </c>
      <c r="E2332" s="656" t="s">
        <v>3552</v>
      </c>
      <c r="F2332" s="655">
        <v>64472</v>
      </c>
      <c r="G2332" s="656" t="s">
        <v>81</v>
      </c>
      <c r="H2332" s="656" t="s">
        <v>1183</v>
      </c>
      <c r="I2332" s="656" t="s">
        <v>1176</v>
      </c>
      <c r="J2332" s="655">
        <v>22</v>
      </c>
      <c r="K2332" s="655">
        <v>2</v>
      </c>
      <c r="L2332" s="656" t="s">
        <v>52</v>
      </c>
      <c r="M2332" s="656" t="s">
        <v>448</v>
      </c>
      <c r="N2332" s="656" t="s">
        <v>449</v>
      </c>
      <c r="O2332" s="656" t="s">
        <v>449</v>
      </c>
      <c r="P2332" s="656" t="s">
        <v>1176</v>
      </c>
      <c r="Q2332" s="657">
        <v>0</v>
      </c>
      <c r="R2332" s="657">
        <v>0</v>
      </c>
      <c r="S2332" s="657">
        <v>601</v>
      </c>
      <c r="T2332" s="657">
        <v>601</v>
      </c>
      <c r="U2332" s="657">
        <v>68</v>
      </c>
      <c r="V2332" s="655">
        <v>2021</v>
      </c>
      <c r="W2332" s="659"/>
      <c r="X2332" s="660">
        <f t="shared" si="110"/>
        <v>8.8382352941176467</v>
      </c>
      <c r="Y2332" s="661" t="str">
        <f t="shared" si="108"/>
        <v/>
      </c>
      <c r="Z2332" s="661" t="str">
        <f t="shared" si="109"/>
        <v/>
      </c>
    </row>
    <row r="2333" spans="1:26" s="128" customFormat="1" ht="25">
      <c r="A2333" s="655">
        <v>65057</v>
      </c>
      <c r="B2333" s="656" t="s">
        <v>33</v>
      </c>
      <c r="C2333" s="655" t="s">
        <v>2793</v>
      </c>
      <c r="D2333" s="656" t="s">
        <v>3553</v>
      </c>
      <c r="E2333" s="656" t="s">
        <v>3554</v>
      </c>
      <c r="F2333" s="655">
        <v>64473</v>
      </c>
      <c r="G2333" s="656" t="s">
        <v>81</v>
      </c>
      <c r="H2333" s="656" t="s">
        <v>1183</v>
      </c>
      <c r="I2333" s="656" t="s">
        <v>1176</v>
      </c>
      <c r="J2333" s="655">
        <v>22</v>
      </c>
      <c r="K2333" s="655">
        <v>2</v>
      </c>
      <c r="L2333" s="656" t="s">
        <v>52</v>
      </c>
      <c r="M2333" s="656" t="s">
        <v>1890</v>
      </c>
      <c r="N2333" s="656" t="s">
        <v>1052</v>
      </c>
      <c r="O2333" s="656" t="s">
        <v>82</v>
      </c>
      <c r="P2333" s="656" t="s">
        <v>2794</v>
      </c>
      <c r="Q2333" s="657">
        <v>0</v>
      </c>
      <c r="R2333" s="657">
        <v>0</v>
      </c>
      <c r="S2333" s="657">
        <v>0</v>
      </c>
      <c r="T2333" s="657">
        <v>0</v>
      </c>
      <c r="U2333" s="657">
        <v>0</v>
      </c>
      <c r="V2333" s="655">
        <v>2021</v>
      </c>
      <c r="W2333" s="659"/>
      <c r="X2333" s="660" t="str">
        <f t="shared" si="110"/>
        <v/>
      </c>
      <c r="Y2333" s="661" t="str">
        <f t="shared" si="108"/>
        <v/>
      </c>
      <c r="Z2333" s="661" t="str">
        <f t="shared" si="109"/>
        <v/>
      </c>
    </row>
    <row r="2334" spans="1:26" s="128" customFormat="1" ht="25">
      <c r="A2334" s="655">
        <v>65057</v>
      </c>
      <c r="B2334" s="656" t="s">
        <v>33</v>
      </c>
      <c r="C2334" s="655" t="s">
        <v>2793</v>
      </c>
      <c r="D2334" s="656" t="s">
        <v>3553</v>
      </c>
      <c r="E2334" s="656" t="s">
        <v>3554</v>
      </c>
      <c r="F2334" s="655">
        <v>64473</v>
      </c>
      <c r="G2334" s="656" t="s">
        <v>81</v>
      </c>
      <c r="H2334" s="656" t="s">
        <v>1183</v>
      </c>
      <c r="I2334" s="656" t="s">
        <v>1176</v>
      </c>
      <c r="J2334" s="655">
        <v>22</v>
      </c>
      <c r="K2334" s="655">
        <v>2</v>
      </c>
      <c r="L2334" s="656" t="s">
        <v>52</v>
      </c>
      <c r="M2334" s="656" t="s">
        <v>448</v>
      </c>
      <c r="N2334" s="656" t="s">
        <v>449</v>
      </c>
      <c r="O2334" s="656" t="s">
        <v>449</v>
      </c>
      <c r="P2334" s="656" t="s">
        <v>1176</v>
      </c>
      <c r="Q2334" s="657">
        <v>0</v>
      </c>
      <c r="R2334" s="657">
        <v>0</v>
      </c>
      <c r="S2334" s="657">
        <v>9</v>
      </c>
      <c r="T2334" s="657">
        <v>9</v>
      </c>
      <c r="U2334" s="657">
        <v>1</v>
      </c>
      <c r="V2334" s="655">
        <v>2021</v>
      </c>
      <c r="W2334" s="659"/>
      <c r="X2334" s="660">
        <f t="shared" si="110"/>
        <v>9</v>
      </c>
      <c r="Y2334" s="661" t="str">
        <f t="shared" si="108"/>
        <v/>
      </c>
      <c r="Z2334" s="661" t="str">
        <f t="shared" si="109"/>
        <v/>
      </c>
    </row>
    <row r="2335" spans="1:26" s="128" customFormat="1">
      <c r="A2335" s="655">
        <v>65083</v>
      </c>
      <c r="B2335" s="656" t="s">
        <v>33</v>
      </c>
      <c r="C2335" s="655" t="s">
        <v>2793</v>
      </c>
      <c r="D2335" s="656" t="s">
        <v>3555</v>
      </c>
      <c r="E2335" s="656" t="s">
        <v>1765</v>
      </c>
      <c r="F2335" s="655">
        <v>59254</v>
      </c>
      <c r="G2335" s="656" t="s">
        <v>81</v>
      </c>
      <c r="H2335" s="656" t="s">
        <v>1183</v>
      </c>
      <c r="I2335" s="656" t="s">
        <v>1176</v>
      </c>
      <c r="J2335" s="655">
        <v>22</v>
      </c>
      <c r="K2335" s="655">
        <v>2</v>
      </c>
      <c r="L2335" s="656" t="s">
        <v>52</v>
      </c>
      <c r="M2335" s="656" t="s">
        <v>448</v>
      </c>
      <c r="N2335" s="656" t="s">
        <v>449</v>
      </c>
      <c r="O2335" s="656" t="s">
        <v>449</v>
      </c>
      <c r="P2335" s="656" t="s">
        <v>1176</v>
      </c>
      <c r="Q2335" s="657">
        <v>0</v>
      </c>
      <c r="R2335" s="657">
        <v>0</v>
      </c>
      <c r="S2335" s="657">
        <v>34320</v>
      </c>
      <c r="T2335" s="657">
        <v>34320</v>
      </c>
      <c r="U2335" s="657">
        <v>3881</v>
      </c>
      <c r="V2335" s="655">
        <v>2021</v>
      </c>
      <c r="W2335" s="659"/>
      <c r="X2335" s="660">
        <f t="shared" si="110"/>
        <v>8.8430816799793863</v>
      </c>
      <c r="Y2335" s="661" t="str">
        <f t="shared" si="108"/>
        <v/>
      </c>
      <c r="Z2335" s="661" t="str">
        <f t="shared" si="109"/>
        <v/>
      </c>
    </row>
    <row r="2336" spans="1:26" s="128" customFormat="1">
      <c r="A2336" s="655">
        <v>65085</v>
      </c>
      <c r="B2336" s="656" t="s">
        <v>33</v>
      </c>
      <c r="C2336" s="655" t="s">
        <v>2793</v>
      </c>
      <c r="D2336" s="656" t="s">
        <v>3556</v>
      </c>
      <c r="E2336" s="656" t="s">
        <v>1765</v>
      </c>
      <c r="F2336" s="655">
        <v>59254</v>
      </c>
      <c r="G2336" s="656" t="s">
        <v>81</v>
      </c>
      <c r="H2336" s="656" t="s">
        <v>1183</v>
      </c>
      <c r="I2336" s="656" t="s">
        <v>1176</v>
      </c>
      <c r="J2336" s="655">
        <v>22</v>
      </c>
      <c r="K2336" s="655">
        <v>2</v>
      </c>
      <c r="L2336" s="656" t="s">
        <v>52</v>
      </c>
      <c r="M2336" s="656" t="s">
        <v>448</v>
      </c>
      <c r="N2336" s="656" t="s">
        <v>449</v>
      </c>
      <c r="O2336" s="656" t="s">
        <v>449</v>
      </c>
      <c r="P2336" s="656" t="s">
        <v>1176</v>
      </c>
      <c r="Q2336" s="657">
        <v>0</v>
      </c>
      <c r="R2336" s="657">
        <v>0</v>
      </c>
      <c r="S2336" s="657">
        <v>39856</v>
      </c>
      <c r="T2336" s="657">
        <v>39856</v>
      </c>
      <c r="U2336" s="657">
        <v>4507</v>
      </c>
      <c r="V2336" s="655">
        <v>2021</v>
      </c>
      <c r="W2336" s="659"/>
      <c r="X2336" s="660">
        <f t="shared" si="110"/>
        <v>8.8431329043709788</v>
      </c>
      <c r="Y2336" s="661" t="str">
        <f t="shared" si="108"/>
        <v/>
      </c>
      <c r="Z2336" s="661" t="str">
        <f t="shared" si="109"/>
        <v/>
      </c>
    </row>
    <row r="2337" spans="1:26" s="128" customFormat="1" ht="25">
      <c r="A2337" s="655">
        <v>65092</v>
      </c>
      <c r="B2337" s="656" t="s">
        <v>33</v>
      </c>
      <c r="C2337" s="655" t="s">
        <v>2793</v>
      </c>
      <c r="D2337" s="656" t="s">
        <v>3557</v>
      </c>
      <c r="E2337" s="656" t="s">
        <v>2327</v>
      </c>
      <c r="F2337" s="655">
        <v>60025</v>
      </c>
      <c r="G2337" s="656" t="s">
        <v>81</v>
      </c>
      <c r="H2337" s="656" t="s">
        <v>1183</v>
      </c>
      <c r="I2337" s="656" t="s">
        <v>1176</v>
      </c>
      <c r="J2337" s="655">
        <v>22</v>
      </c>
      <c r="K2337" s="655">
        <v>2</v>
      </c>
      <c r="L2337" s="656" t="s">
        <v>52</v>
      </c>
      <c r="M2337" s="656" t="s">
        <v>448</v>
      </c>
      <c r="N2337" s="656" t="s">
        <v>449</v>
      </c>
      <c r="O2337" s="656" t="s">
        <v>449</v>
      </c>
      <c r="P2337" s="656" t="s">
        <v>1176</v>
      </c>
      <c r="Q2337" s="657">
        <v>0</v>
      </c>
      <c r="R2337" s="657">
        <v>0</v>
      </c>
      <c r="S2337" s="657">
        <v>2554</v>
      </c>
      <c r="T2337" s="657">
        <v>2554</v>
      </c>
      <c r="U2337" s="657">
        <v>289</v>
      </c>
      <c r="V2337" s="655">
        <v>2021</v>
      </c>
      <c r="W2337" s="659"/>
      <c r="X2337" s="660">
        <f t="shared" si="110"/>
        <v>8.8373702422145328</v>
      </c>
      <c r="Y2337" s="661" t="str">
        <f t="shared" si="108"/>
        <v/>
      </c>
      <c r="Z2337" s="661" t="str">
        <f t="shared" si="109"/>
        <v/>
      </c>
    </row>
    <row r="2338" spans="1:26" s="128" customFormat="1" ht="25">
      <c r="A2338" s="655">
        <v>65093</v>
      </c>
      <c r="B2338" s="656" t="s">
        <v>33</v>
      </c>
      <c r="C2338" s="655" t="s">
        <v>2793</v>
      </c>
      <c r="D2338" s="656" t="s">
        <v>3558</v>
      </c>
      <c r="E2338" s="656" t="s">
        <v>2327</v>
      </c>
      <c r="F2338" s="655">
        <v>60025</v>
      </c>
      <c r="G2338" s="656" t="s">
        <v>81</v>
      </c>
      <c r="H2338" s="656" t="s">
        <v>1183</v>
      </c>
      <c r="I2338" s="656" t="s">
        <v>1176</v>
      </c>
      <c r="J2338" s="655">
        <v>22</v>
      </c>
      <c r="K2338" s="655">
        <v>2</v>
      </c>
      <c r="L2338" s="656" t="s">
        <v>52</v>
      </c>
      <c r="M2338" s="656" t="s">
        <v>448</v>
      </c>
      <c r="N2338" s="656" t="s">
        <v>449</v>
      </c>
      <c r="O2338" s="656" t="s">
        <v>449</v>
      </c>
      <c r="P2338" s="656" t="s">
        <v>1176</v>
      </c>
      <c r="Q2338" s="657">
        <v>0</v>
      </c>
      <c r="R2338" s="657">
        <v>0</v>
      </c>
      <c r="S2338" s="657">
        <v>2636</v>
      </c>
      <c r="T2338" s="657">
        <v>2636</v>
      </c>
      <c r="U2338" s="657">
        <v>298</v>
      </c>
      <c r="V2338" s="655">
        <v>2021</v>
      </c>
      <c r="W2338" s="659"/>
      <c r="X2338" s="660">
        <f t="shared" si="110"/>
        <v>8.8456375838926178</v>
      </c>
      <c r="Y2338" s="661" t="str">
        <f t="shared" si="108"/>
        <v/>
      </c>
      <c r="Z2338" s="661" t="str">
        <f t="shared" si="109"/>
        <v/>
      </c>
    </row>
    <row r="2339" spans="1:26" s="128" customFormat="1" ht="25">
      <c r="A2339" s="655">
        <v>65114</v>
      </c>
      <c r="B2339" s="656" t="s">
        <v>33</v>
      </c>
      <c r="C2339" s="655" t="s">
        <v>2793</v>
      </c>
      <c r="D2339" s="656" t="s">
        <v>3559</v>
      </c>
      <c r="E2339" s="656" t="s">
        <v>3560</v>
      </c>
      <c r="F2339" s="655">
        <v>64420</v>
      </c>
      <c r="G2339" s="656" t="s">
        <v>81</v>
      </c>
      <c r="H2339" s="656" t="s">
        <v>1183</v>
      </c>
      <c r="I2339" s="656" t="s">
        <v>1176</v>
      </c>
      <c r="J2339" s="655">
        <v>22</v>
      </c>
      <c r="K2339" s="655">
        <v>2</v>
      </c>
      <c r="L2339" s="656" t="s">
        <v>52</v>
      </c>
      <c r="M2339" s="656" t="s">
        <v>1890</v>
      </c>
      <c r="N2339" s="656" t="s">
        <v>1052</v>
      </c>
      <c r="O2339" s="656" t="s">
        <v>82</v>
      </c>
      <c r="P2339" s="656" t="s">
        <v>2794</v>
      </c>
      <c r="Q2339" s="657">
        <v>0</v>
      </c>
      <c r="R2339" s="657">
        <v>0</v>
      </c>
      <c r="S2339" s="657">
        <v>0</v>
      </c>
      <c r="T2339" s="657">
        <v>0</v>
      </c>
      <c r="U2339" s="657">
        <v>0</v>
      </c>
      <c r="V2339" s="655">
        <v>2021</v>
      </c>
      <c r="W2339" s="659"/>
      <c r="X2339" s="660" t="str">
        <f t="shared" si="110"/>
        <v/>
      </c>
      <c r="Y2339" s="661" t="str">
        <f t="shared" si="108"/>
        <v/>
      </c>
      <c r="Z2339" s="661" t="str">
        <f t="shared" si="109"/>
        <v/>
      </c>
    </row>
    <row r="2340" spans="1:26" s="128" customFormat="1" ht="25">
      <c r="A2340" s="655">
        <v>65114</v>
      </c>
      <c r="B2340" s="656" t="s">
        <v>33</v>
      </c>
      <c r="C2340" s="655" t="s">
        <v>2793</v>
      </c>
      <c r="D2340" s="656" t="s">
        <v>3559</v>
      </c>
      <c r="E2340" s="656" t="s">
        <v>3560</v>
      </c>
      <c r="F2340" s="655">
        <v>64420</v>
      </c>
      <c r="G2340" s="656" t="s">
        <v>81</v>
      </c>
      <c r="H2340" s="656" t="s">
        <v>1183</v>
      </c>
      <c r="I2340" s="656" t="s">
        <v>1176</v>
      </c>
      <c r="J2340" s="655">
        <v>22</v>
      </c>
      <c r="K2340" s="655">
        <v>2</v>
      </c>
      <c r="L2340" s="656" t="s">
        <v>52</v>
      </c>
      <c r="M2340" s="656" t="s">
        <v>448</v>
      </c>
      <c r="N2340" s="656" t="s">
        <v>449</v>
      </c>
      <c r="O2340" s="656" t="s">
        <v>449</v>
      </c>
      <c r="P2340" s="656" t="s">
        <v>1176</v>
      </c>
      <c r="Q2340" s="657">
        <v>0</v>
      </c>
      <c r="R2340" s="657">
        <v>0</v>
      </c>
      <c r="S2340" s="657">
        <v>0</v>
      </c>
      <c r="T2340" s="657">
        <v>0</v>
      </c>
      <c r="U2340" s="657">
        <v>0</v>
      </c>
      <c r="V2340" s="655">
        <v>2021</v>
      </c>
      <c r="W2340" s="659"/>
      <c r="X2340" s="660" t="str">
        <f t="shared" si="110"/>
        <v/>
      </c>
      <c r="Y2340" s="661" t="str">
        <f t="shared" si="108"/>
        <v/>
      </c>
      <c r="Z2340" s="661" t="str">
        <f t="shared" si="109"/>
        <v/>
      </c>
    </row>
    <row r="2341" spans="1:26" s="128" customFormat="1" ht="25" hidden="1">
      <c r="A2341" s="655">
        <v>65122</v>
      </c>
      <c r="B2341" s="656" t="s">
        <v>33</v>
      </c>
      <c r="C2341" s="655" t="s">
        <v>2793</v>
      </c>
      <c r="D2341" s="656" t="s">
        <v>3561</v>
      </c>
      <c r="E2341" s="656" t="s">
        <v>3372</v>
      </c>
      <c r="F2341" s="655">
        <v>61944</v>
      </c>
      <c r="G2341" s="656" t="s">
        <v>57</v>
      </c>
      <c r="H2341" s="656" t="s">
        <v>1182</v>
      </c>
      <c r="I2341" s="656" t="s">
        <v>1176</v>
      </c>
      <c r="J2341" s="655">
        <v>22</v>
      </c>
      <c r="K2341" s="655">
        <v>2</v>
      </c>
      <c r="L2341" s="656" t="s">
        <v>52</v>
      </c>
      <c r="M2341" s="656" t="s">
        <v>448</v>
      </c>
      <c r="N2341" s="656" t="s">
        <v>449</v>
      </c>
      <c r="O2341" s="656" t="s">
        <v>449</v>
      </c>
      <c r="P2341" s="656" t="s">
        <v>1176</v>
      </c>
      <c r="Q2341" s="657">
        <v>0</v>
      </c>
      <c r="R2341" s="657">
        <v>0</v>
      </c>
      <c r="S2341" s="657">
        <v>1724</v>
      </c>
      <c r="T2341" s="657">
        <v>1724</v>
      </c>
      <c r="U2341" s="657">
        <v>195</v>
      </c>
      <c r="V2341" s="655">
        <v>2021</v>
      </c>
      <c r="W2341" s="659"/>
      <c r="X2341" s="660">
        <f t="shared" si="110"/>
        <v>8.8410256410256416</v>
      </c>
      <c r="Y2341" s="661" t="str">
        <f t="shared" si="108"/>
        <v/>
      </c>
      <c r="Z2341" s="661" t="str">
        <f t="shared" si="109"/>
        <v/>
      </c>
    </row>
    <row r="2342" spans="1:26" s="128" customFormat="1" hidden="1">
      <c r="A2342" s="655">
        <v>65152</v>
      </c>
      <c r="B2342" s="656" t="s">
        <v>33</v>
      </c>
      <c r="C2342" s="655" t="s">
        <v>2793</v>
      </c>
      <c r="D2342" s="656" t="s">
        <v>3562</v>
      </c>
      <c r="E2342" s="656" t="s">
        <v>1965</v>
      </c>
      <c r="F2342" s="655">
        <v>58135</v>
      </c>
      <c r="G2342" s="656" t="s">
        <v>41</v>
      </c>
      <c r="H2342" s="656" t="s">
        <v>1183</v>
      </c>
      <c r="I2342" s="656" t="s">
        <v>1176</v>
      </c>
      <c r="J2342" s="655">
        <v>22</v>
      </c>
      <c r="K2342" s="655">
        <v>2</v>
      </c>
      <c r="L2342" s="656" t="s">
        <v>52</v>
      </c>
      <c r="M2342" s="656" t="s">
        <v>448</v>
      </c>
      <c r="N2342" s="656" t="s">
        <v>449</v>
      </c>
      <c r="O2342" s="656" t="s">
        <v>449</v>
      </c>
      <c r="P2342" s="656" t="s">
        <v>1176</v>
      </c>
      <c r="Q2342" s="657">
        <v>0</v>
      </c>
      <c r="R2342" s="657">
        <v>0</v>
      </c>
      <c r="S2342" s="657">
        <v>8604</v>
      </c>
      <c r="T2342" s="657">
        <v>8604</v>
      </c>
      <c r="U2342" s="657">
        <v>973</v>
      </c>
      <c r="V2342" s="655">
        <v>2021</v>
      </c>
      <c r="W2342" s="659"/>
      <c r="X2342" s="660">
        <f t="shared" si="110"/>
        <v>8.8427543679342246</v>
      </c>
      <c r="Y2342" s="661" t="str">
        <f t="shared" si="108"/>
        <v/>
      </c>
      <c r="Z2342" s="661" t="str">
        <f t="shared" si="109"/>
        <v/>
      </c>
    </row>
    <row r="2343" spans="1:26" s="128" customFormat="1" ht="25">
      <c r="A2343" s="655">
        <v>65174</v>
      </c>
      <c r="B2343" s="656" t="s">
        <v>33</v>
      </c>
      <c r="C2343" s="655" t="s">
        <v>2793</v>
      </c>
      <c r="D2343" s="656" t="s">
        <v>3563</v>
      </c>
      <c r="E2343" s="656" t="s">
        <v>3564</v>
      </c>
      <c r="F2343" s="655">
        <v>64534</v>
      </c>
      <c r="G2343" s="656" t="s">
        <v>81</v>
      </c>
      <c r="H2343" s="656" t="s">
        <v>1183</v>
      </c>
      <c r="I2343" s="656" t="s">
        <v>1176</v>
      </c>
      <c r="J2343" s="655">
        <v>22</v>
      </c>
      <c r="K2343" s="655">
        <v>2</v>
      </c>
      <c r="L2343" s="656" t="s">
        <v>52</v>
      </c>
      <c r="M2343" s="656" t="s">
        <v>1890</v>
      </c>
      <c r="N2343" s="656" t="s">
        <v>1052</v>
      </c>
      <c r="O2343" s="656" t="s">
        <v>82</v>
      </c>
      <c r="P2343" s="656" t="s">
        <v>2794</v>
      </c>
      <c r="Q2343" s="657">
        <v>0</v>
      </c>
      <c r="R2343" s="657">
        <v>0</v>
      </c>
      <c r="S2343" s="657">
        <v>0</v>
      </c>
      <c r="T2343" s="657">
        <v>0</v>
      </c>
      <c r="U2343" s="657">
        <v>479</v>
      </c>
      <c r="V2343" s="655">
        <v>2021</v>
      </c>
      <c r="W2343" s="659"/>
      <c r="X2343" s="660" t="str">
        <f t="shared" si="110"/>
        <v/>
      </c>
      <c r="Y2343" s="661" t="str">
        <f t="shared" si="108"/>
        <v/>
      </c>
      <c r="Z2343" s="661" t="str">
        <f t="shared" si="109"/>
        <v/>
      </c>
    </row>
    <row r="2344" spans="1:26" s="128" customFormat="1" ht="25">
      <c r="A2344" s="655">
        <v>65174</v>
      </c>
      <c r="B2344" s="656" t="s">
        <v>33</v>
      </c>
      <c r="C2344" s="655" t="s">
        <v>2793</v>
      </c>
      <c r="D2344" s="656" t="s">
        <v>3563</v>
      </c>
      <c r="E2344" s="656" t="s">
        <v>3564</v>
      </c>
      <c r="F2344" s="655">
        <v>64534</v>
      </c>
      <c r="G2344" s="656" t="s">
        <v>81</v>
      </c>
      <c r="H2344" s="656" t="s">
        <v>1183</v>
      </c>
      <c r="I2344" s="656" t="s">
        <v>1176</v>
      </c>
      <c r="J2344" s="655">
        <v>22</v>
      </c>
      <c r="K2344" s="655">
        <v>2</v>
      </c>
      <c r="L2344" s="656" t="s">
        <v>52</v>
      </c>
      <c r="M2344" s="656" t="s">
        <v>448</v>
      </c>
      <c r="N2344" s="656" t="s">
        <v>449</v>
      </c>
      <c r="O2344" s="656" t="s">
        <v>449</v>
      </c>
      <c r="P2344" s="656" t="s">
        <v>1176</v>
      </c>
      <c r="Q2344" s="657">
        <v>0</v>
      </c>
      <c r="R2344" s="657">
        <v>0</v>
      </c>
      <c r="S2344" s="657">
        <v>21178</v>
      </c>
      <c r="T2344" s="657">
        <v>21178</v>
      </c>
      <c r="U2344" s="657">
        <v>2395</v>
      </c>
      <c r="V2344" s="655">
        <v>2021</v>
      </c>
      <c r="W2344" s="659"/>
      <c r="X2344" s="660">
        <f t="shared" si="110"/>
        <v>8.8425887265135703</v>
      </c>
      <c r="Y2344" s="661" t="str">
        <f t="shared" si="108"/>
        <v/>
      </c>
      <c r="Z2344" s="661" t="str">
        <f t="shared" si="109"/>
        <v/>
      </c>
    </row>
    <row r="2345" spans="1:26" s="128" customFormat="1" ht="25">
      <c r="A2345" s="655">
        <v>65175</v>
      </c>
      <c r="B2345" s="656" t="s">
        <v>33</v>
      </c>
      <c r="C2345" s="655" t="s">
        <v>2793</v>
      </c>
      <c r="D2345" s="656" t="s">
        <v>3565</v>
      </c>
      <c r="E2345" s="656" t="s">
        <v>3566</v>
      </c>
      <c r="F2345" s="655">
        <v>64535</v>
      </c>
      <c r="G2345" s="656" t="s">
        <v>81</v>
      </c>
      <c r="H2345" s="656" t="s">
        <v>1183</v>
      </c>
      <c r="I2345" s="656" t="s">
        <v>1176</v>
      </c>
      <c r="J2345" s="655">
        <v>22</v>
      </c>
      <c r="K2345" s="655">
        <v>2</v>
      </c>
      <c r="L2345" s="656" t="s">
        <v>52</v>
      </c>
      <c r="M2345" s="656" t="s">
        <v>448</v>
      </c>
      <c r="N2345" s="656" t="s">
        <v>449</v>
      </c>
      <c r="O2345" s="656" t="s">
        <v>449</v>
      </c>
      <c r="P2345" s="656" t="s">
        <v>1176</v>
      </c>
      <c r="Q2345" s="657">
        <v>0</v>
      </c>
      <c r="R2345" s="657">
        <v>0</v>
      </c>
      <c r="S2345" s="657">
        <v>56153</v>
      </c>
      <c r="T2345" s="657">
        <v>56153</v>
      </c>
      <c r="U2345" s="657">
        <v>6350</v>
      </c>
      <c r="V2345" s="655">
        <v>2021</v>
      </c>
      <c r="W2345" s="659"/>
      <c r="X2345" s="660">
        <f t="shared" si="110"/>
        <v>8.8429921259842512</v>
      </c>
      <c r="Y2345" s="661" t="str">
        <f t="shared" si="108"/>
        <v/>
      </c>
      <c r="Z2345" s="661" t="str">
        <f t="shared" si="109"/>
        <v/>
      </c>
    </row>
    <row r="2346" spans="1:26" s="128" customFormat="1" ht="25">
      <c r="A2346" s="655">
        <v>65183</v>
      </c>
      <c r="B2346" s="656" t="s">
        <v>33</v>
      </c>
      <c r="C2346" s="655" t="s">
        <v>2793</v>
      </c>
      <c r="D2346" s="656" t="s">
        <v>3567</v>
      </c>
      <c r="E2346" s="656" t="s">
        <v>2327</v>
      </c>
      <c r="F2346" s="655">
        <v>60025</v>
      </c>
      <c r="G2346" s="656" t="s">
        <v>81</v>
      </c>
      <c r="H2346" s="656" t="s">
        <v>1183</v>
      </c>
      <c r="I2346" s="656" t="s">
        <v>1176</v>
      </c>
      <c r="J2346" s="655">
        <v>22</v>
      </c>
      <c r="K2346" s="655">
        <v>2</v>
      </c>
      <c r="L2346" s="656" t="s">
        <v>52</v>
      </c>
      <c r="M2346" s="656" t="s">
        <v>448</v>
      </c>
      <c r="N2346" s="656" t="s">
        <v>449</v>
      </c>
      <c r="O2346" s="656" t="s">
        <v>449</v>
      </c>
      <c r="P2346" s="656" t="s">
        <v>1176</v>
      </c>
      <c r="Q2346" s="657">
        <v>0</v>
      </c>
      <c r="R2346" s="657">
        <v>0</v>
      </c>
      <c r="S2346" s="657">
        <v>1157</v>
      </c>
      <c r="T2346" s="657">
        <v>1157</v>
      </c>
      <c r="U2346" s="657">
        <v>131</v>
      </c>
      <c r="V2346" s="655">
        <v>2021</v>
      </c>
      <c r="W2346" s="659"/>
      <c r="X2346" s="660">
        <f t="shared" si="110"/>
        <v>8.8320610687022896</v>
      </c>
      <c r="Y2346" s="661" t="str">
        <f t="shared" si="108"/>
        <v/>
      </c>
      <c r="Z2346" s="661" t="str">
        <f t="shared" si="109"/>
        <v/>
      </c>
    </row>
    <row r="2347" spans="1:26" s="128" customFormat="1" ht="25">
      <c r="A2347" s="655">
        <v>65184</v>
      </c>
      <c r="B2347" s="656" t="s">
        <v>33</v>
      </c>
      <c r="C2347" s="655" t="s">
        <v>2793</v>
      </c>
      <c r="D2347" s="656" t="s">
        <v>3568</v>
      </c>
      <c r="E2347" s="656" t="s">
        <v>2327</v>
      </c>
      <c r="F2347" s="655">
        <v>60025</v>
      </c>
      <c r="G2347" s="656" t="s">
        <v>81</v>
      </c>
      <c r="H2347" s="656" t="s">
        <v>1183</v>
      </c>
      <c r="I2347" s="656" t="s">
        <v>1176</v>
      </c>
      <c r="J2347" s="655">
        <v>22</v>
      </c>
      <c r="K2347" s="655">
        <v>2</v>
      </c>
      <c r="L2347" s="656" t="s">
        <v>52</v>
      </c>
      <c r="M2347" s="656" t="s">
        <v>448</v>
      </c>
      <c r="N2347" s="656" t="s">
        <v>449</v>
      </c>
      <c r="O2347" s="656" t="s">
        <v>449</v>
      </c>
      <c r="P2347" s="656" t="s">
        <v>1176</v>
      </c>
      <c r="Q2347" s="657">
        <v>0</v>
      </c>
      <c r="R2347" s="657">
        <v>0</v>
      </c>
      <c r="S2347" s="657">
        <v>602</v>
      </c>
      <c r="T2347" s="657">
        <v>602</v>
      </c>
      <c r="U2347" s="657">
        <v>68</v>
      </c>
      <c r="V2347" s="655">
        <v>2021</v>
      </c>
      <c r="W2347" s="659"/>
      <c r="X2347" s="660">
        <f t="shared" si="110"/>
        <v>8.8529411764705888</v>
      </c>
      <c r="Y2347" s="661" t="str">
        <f t="shared" si="108"/>
        <v/>
      </c>
      <c r="Z2347" s="661" t="str">
        <f t="shared" si="109"/>
        <v/>
      </c>
    </row>
    <row r="2348" spans="1:26" s="128" customFormat="1" hidden="1">
      <c r="A2348" s="655">
        <v>65197</v>
      </c>
      <c r="B2348" s="656" t="s">
        <v>33</v>
      </c>
      <c r="C2348" s="655" t="s">
        <v>2793</v>
      </c>
      <c r="D2348" s="656" t="s">
        <v>3569</v>
      </c>
      <c r="E2348" s="656" t="s">
        <v>1795</v>
      </c>
      <c r="F2348" s="655">
        <v>57128</v>
      </c>
      <c r="G2348" s="656" t="s">
        <v>41</v>
      </c>
      <c r="H2348" s="656" t="s">
        <v>1183</v>
      </c>
      <c r="I2348" s="656" t="s">
        <v>1176</v>
      </c>
      <c r="J2348" s="655">
        <v>22</v>
      </c>
      <c r="K2348" s="655">
        <v>2</v>
      </c>
      <c r="L2348" s="656" t="s">
        <v>52</v>
      </c>
      <c r="M2348" s="656" t="s">
        <v>1255</v>
      </c>
      <c r="N2348" s="656" t="s">
        <v>39</v>
      </c>
      <c r="O2348" s="656" t="s">
        <v>39</v>
      </c>
      <c r="P2348" s="656" t="s">
        <v>1037</v>
      </c>
      <c r="Q2348" s="657">
        <v>111075</v>
      </c>
      <c r="R2348" s="657">
        <v>111075</v>
      </c>
      <c r="S2348" s="657">
        <v>114409</v>
      </c>
      <c r="T2348" s="657">
        <v>114409</v>
      </c>
      <c r="U2348" s="657">
        <v>17597</v>
      </c>
      <c r="V2348" s="655">
        <v>2021</v>
      </c>
      <c r="W2348" s="659"/>
      <c r="X2348" s="660">
        <f t="shared" si="110"/>
        <v>6.5016195942490196</v>
      </c>
      <c r="Y2348" s="661" t="str">
        <f t="shared" si="108"/>
        <v/>
      </c>
      <c r="Z2348" s="661" t="str">
        <f t="shared" si="109"/>
        <v/>
      </c>
    </row>
    <row r="2349" spans="1:26" s="128" customFormat="1" hidden="1">
      <c r="A2349" s="655">
        <v>65198</v>
      </c>
      <c r="B2349" s="656" t="s">
        <v>33</v>
      </c>
      <c r="C2349" s="655" t="s">
        <v>2793</v>
      </c>
      <c r="D2349" s="656" t="s">
        <v>3570</v>
      </c>
      <c r="E2349" s="656" t="s">
        <v>1795</v>
      </c>
      <c r="F2349" s="655">
        <v>57128</v>
      </c>
      <c r="G2349" s="656" t="s">
        <v>41</v>
      </c>
      <c r="H2349" s="656" t="s">
        <v>1183</v>
      </c>
      <c r="I2349" s="656" t="s">
        <v>1176</v>
      </c>
      <c r="J2349" s="655">
        <v>22</v>
      </c>
      <c r="K2349" s="655">
        <v>2</v>
      </c>
      <c r="L2349" s="656" t="s">
        <v>52</v>
      </c>
      <c r="M2349" s="656" t="s">
        <v>1255</v>
      </c>
      <c r="N2349" s="656" t="s">
        <v>39</v>
      </c>
      <c r="O2349" s="656" t="s">
        <v>39</v>
      </c>
      <c r="P2349" s="656" t="s">
        <v>1037</v>
      </c>
      <c r="Q2349" s="657">
        <v>111797</v>
      </c>
      <c r="R2349" s="657">
        <v>111797</v>
      </c>
      <c r="S2349" s="657">
        <v>115151</v>
      </c>
      <c r="T2349" s="657">
        <v>115151</v>
      </c>
      <c r="U2349" s="657">
        <v>17195</v>
      </c>
      <c r="V2349" s="655">
        <v>2021</v>
      </c>
      <c r="W2349" s="659"/>
      <c r="X2349" s="660">
        <f t="shared" si="110"/>
        <v>6.6967723175341671</v>
      </c>
      <c r="Y2349" s="661" t="str">
        <f t="shared" si="108"/>
        <v/>
      </c>
      <c r="Z2349" s="661" t="str">
        <f t="shared" si="109"/>
        <v/>
      </c>
    </row>
    <row r="2350" spans="1:26" s="128" customFormat="1" ht="25" hidden="1">
      <c r="A2350" s="655">
        <v>65201</v>
      </c>
      <c r="B2350" s="656" t="s">
        <v>33</v>
      </c>
      <c r="C2350" s="655" t="s">
        <v>2793</v>
      </c>
      <c r="D2350" s="656" t="s">
        <v>3571</v>
      </c>
      <c r="E2350" s="656" t="s">
        <v>1795</v>
      </c>
      <c r="F2350" s="655">
        <v>57128</v>
      </c>
      <c r="G2350" s="656" t="s">
        <v>57</v>
      </c>
      <c r="H2350" s="656" t="s">
        <v>1182</v>
      </c>
      <c r="I2350" s="656" t="s">
        <v>1176</v>
      </c>
      <c r="J2350" s="655">
        <v>22</v>
      </c>
      <c r="K2350" s="655">
        <v>2</v>
      </c>
      <c r="L2350" s="656" t="s">
        <v>52</v>
      </c>
      <c r="M2350" s="656" t="s">
        <v>1255</v>
      </c>
      <c r="N2350" s="656" t="s">
        <v>39</v>
      </c>
      <c r="O2350" s="656" t="s">
        <v>39</v>
      </c>
      <c r="P2350" s="656" t="s">
        <v>1037</v>
      </c>
      <c r="Q2350" s="657">
        <v>413638</v>
      </c>
      <c r="R2350" s="657">
        <v>413638</v>
      </c>
      <c r="S2350" s="657">
        <v>426047</v>
      </c>
      <c r="T2350" s="657">
        <v>426047</v>
      </c>
      <c r="U2350" s="657">
        <v>66005</v>
      </c>
      <c r="V2350" s="655">
        <v>2021</v>
      </c>
      <c r="W2350" s="659"/>
      <c r="X2350" s="660">
        <f t="shared" si="110"/>
        <v>6.4547685781380197</v>
      </c>
      <c r="Y2350" s="661" t="str">
        <f t="shared" si="108"/>
        <v/>
      </c>
      <c r="Z2350" s="661" t="str">
        <f t="shared" si="109"/>
        <v/>
      </c>
    </row>
    <row r="2351" spans="1:26" s="128" customFormat="1">
      <c r="A2351" s="655">
        <v>65209</v>
      </c>
      <c r="B2351" s="656" t="s">
        <v>33</v>
      </c>
      <c r="C2351" s="655" t="s">
        <v>2793</v>
      </c>
      <c r="D2351" s="656" t="s">
        <v>3572</v>
      </c>
      <c r="E2351" s="656" t="s">
        <v>1795</v>
      </c>
      <c r="F2351" s="655">
        <v>57128</v>
      </c>
      <c r="G2351" s="656" t="s">
        <v>81</v>
      </c>
      <c r="H2351" s="656" t="s">
        <v>1183</v>
      </c>
      <c r="I2351" s="656" t="s">
        <v>1176</v>
      </c>
      <c r="J2351" s="655">
        <v>22</v>
      </c>
      <c r="K2351" s="655">
        <v>2</v>
      </c>
      <c r="L2351" s="656" t="s">
        <v>52</v>
      </c>
      <c r="M2351" s="656" t="s">
        <v>1255</v>
      </c>
      <c r="N2351" s="656" t="s">
        <v>39</v>
      </c>
      <c r="O2351" s="656" t="s">
        <v>39</v>
      </c>
      <c r="P2351" s="656" t="s">
        <v>1037</v>
      </c>
      <c r="Q2351" s="657">
        <v>11773</v>
      </c>
      <c r="R2351" s="657">
        <v>11773</v>
      </c>
      <c r="S2351" s="657">
        <v>12125</v>
      </c>
      <c r="T2351" s="657">
        <v>12125</v>
      </c>
      <c r="U2351" s="657">
        <v>1941</v>
      </c>
      <c r="V2351" s="655">
        <v>2021</v>
      </c>
      <c r="W2351" s="659"/>
      <c r="X2351" s="660">
        <f t="shared" si="110"/>
        <v>6.2467800103039668</v>
      </c>
      <c r="Y2351" s="661" t="str">
        <f t="shared" si="108"/>
        <v/>
      </c>
      <c r="Z2351" s="661" t="str">
        <f t="shared" si="109"/>
        <v/>
      </c>
    </row>
    <row r="2352" spans="1:26" s="128" customFormat="1" hidden="1">
      <c r="A2352" s="655">
        <v>65212</v>
      </c>
      <c r="B2352" s="656" t="s">
        <v>33</v>
      </c>
      <c r="C2352" s="655" t="s">
        <v>2793</v>
      </c>
      <c r="D2352" s="656" t="s">
        <v>3573</v>
      </c>
      <c r="E2352" s="656" t="s">
        <v>1795</v>
      </c>
      <c r="F2352" s="655">
        <v>57128</v>
      </c>
      <c r="G2352" s="656" t="s">
        <v>57</v>
      </c>
      <c r="H2352" s="656" t="s">
        <v>1182</v>
      </c>
      <c r="I2352" s="656" t="s">
        <v>1176</v>
      </c>
      <c r="J2352" s="655">
        <v>22</v>
      </c>
      <c r="K2352" s="655">
        <v>2</v>
      </c>
      <c r="L2352" s="656" t="s">
        <v>52</v>
      </c>
      <c r="M2352" s="656" t="s">
        <v>1255</v>
      </c>
      <c r="N2352" s="656" t="s">
        <v>39</v>
      </c>
      <c r="O2352" s="656" t="s">
        <v>39</v>
      </c>
      <c r="P2352" s="656" t="s">
        <v>1037</v>
      </c>
      <c r="Q2352" s="657">
        <v>30349</v>
      </c>
      <c r="R2352" s="657">
        <v>30349</v>
      </c>
      <c r="S2352" s="657">
        <v>31259</v>
      </c>
      <c r="T2352" s="657">
        <v>31259</v>
      </c>
      <c r="U2352" s="657">
        <v>4883</v>
      </c>
      <c r="V2352" s="655">
        <v>2021</v>
      </c>
      <c r="W2352" s="659"/>
      <c r="X2352" s="660">
        <f t="shared" si="110"/>
        <v>6.401597378660659</v>
      </c>
      <c r="Y2352" s="661" t="str">
        <f t="shared" si="108"/>
        <v/>
      </c>
      <c r="Z2352" s="661" t="str">
        <f t="shared" si="109"/>
        <v/>
      </c>
    </row>
    <row r="2353" spans="1:26" s="128" customFormat="1" ht="25">
      <c r="A2353" s="655">
        <v>65216</v>
      </c>
      <c r="B2353" s="656" t="s">
        <v>33</v>
      </c>
      <c r="C2353" s="655" t="s">
        <v>2793</v>
      </c>
      <c r="D2353" s="656" t="s">
        <v>3574</v>
      </c>
      <c r="E2353" s="656" t="s">
        <v>2327</v>
      </c>
      <c r="F2353" s="655">
        <v>60025</v>
      </c>
      <c r="G2353" s="656" t="s">
        <v>81</v>
      </c>
      <c r="H2353" s="656" t="s">
        <v>1183</v>
      </c>
      <c r="I2353" s="656" t="s">
        <v>1176</v>
      </c>
      <c r="J2353" s="655">
        <v>22</v>
      </c>
      <c r="K2353" s="655">
        <v>2</v>
      </c>
      <c r="L2353" s="656" t="s">
        <v>52</v>
      </c>
      <c r="M2353" s="656" t="s">
        <v>448</v>
      </c>
      <c r="N2353" s="656" t="s">
        <v>449</v>
      </c>
      <c r="O2353" s="656" t="s">
        <v>449</v>
      </c>
      <c r="P2353" s="656" t="s">
        <v>1176</v>
      </c>
      <c r="Q2353" s="657">
        <v>0</v>
      </c>
      <c r="R2353" s="657">
        <v>0</v>
      </c>
      <c r="S2353" s="657">
        <v>619</v>
      </c>
      <c r="T2353" s="657">
        <v>619</v>
      </c>
      <c r="U2353" s="657">
        <v>70</v>
      </c>
      <c r="V2353" s="655">
        <v>2021</v>
      </c>
      <c r="W2353" s="659"/>
      <c r="X2353" s="660">
        <f t="shared" si="110"/>
        <v>8.8428571428571434</v>
      </c>
      <c r="Y2353" s="661" t="str">
        <f t="shared" si="108"/>
        <v/>
      </c>
      <c r="Z2353" s="661" t="str">
        <f t="shared" si="109"/>
        <v/>
      </c>
    </row>
    <row r="2354" spans="1:26" s="128" customFormat="1" ht="25" hidden="1">
      <c r="A2354" s="655">
        <v>65217</v>
      </c>
      <c r="B2354" s="656" t="s">
        <v>33</v>
      </c>
      <c r="C2354" s="655" t="s">
        <v>2793</v>
      </c>
      <c r="D2354" s="656" t="s">
        <v>3575</v>
      </c>
      <c r="E2354" s="656" t="s">
        <v>2210</v>
      </c>
      <c r="F2354" s="655">
        <v>61012</v>
      </c>
      <c r="G2354" s="656" t="s">
        <v>57</v>
      </c>
      <c r="H2354" s="656" t="s">
        <v>1182</v>
      </c>
      <c r="I2354" s="656" t="s">
        <v>1176</v>
      </c>
      <c r="J2354" s="655">
        <v>22</v>
      </c>
      <c r="K2354" s="655">
        <v>2</v>
      </c>
      <c r="L2354" s="656" t="s">
        <v>52</v>
      </c>
      <c r="M2354" s="656" t="s">
        <v>1890</v>
      </c>
      <c r="N2354" s="656" t="s">
        <v>1052</v>
      </c>
      <c r="O2354" s="656" t="s">
        <v>82</v>
      </c>
      <c r="P2354" s="656" t="s">
        <v>2794</v>
      </c>
      <c r="Q2354" s="657">
        <v>7</v>
      </c>
      <c r="R2354" s="657">
        <v>7</v>
      </c>
      <c r="S2354" s="657">
        <v>0</v>
      </c>
      <c r="T2354" s="657">
        <v>0</v>
      </c>
      <c r="U2354" s="657">
        <v>-7</v>
      </c>
      <c r="V2354" s="655">
        <v>2021</v>
      </c>
      <c r="W2354" s="659"/>
      <c r="X2354" s="660" t="str">
        <f t="shared" si="110"/>
        <v/>
      </c>
      <c r="Y2354" s="661" t="str">
        <f t="shared" si="108"/>
        <v/>
      </c>
      <c r="Z2354" s="661" t="str">
        <f t="shared" si="109"/>
        <v/>
      </c>
    </row>
    <row r="2355" spans="1:26" s="128" customFormat="1" ht="25" hidden="1">
      <c r="A2355" s="655">
        <v>65217</v>
      </c>
      <c r="B2355" s="656" t="s">
        <v>33</v>
      </c>
      <c r="C2355" s="655" t="s">
        <v>2793</v>
      </c>
      <c r="D2355" s="656" t="s">
        <v>3575</v>
      </c>
      <c r="E2355" s="656" t="s">
        <v>2210</v>
      </c>
      <c r="F2355" s="655">
        <v>61012</v>
      </c>
      <c r="G2355" s="656" t="s">
        <v>57</v>
      </c>
      <c r="H2355" s="656" t="s">
        <v>1182</v>
      </c>
      <c r="I2355" s="656" t="s">
        <v>1176</v>
      </c>
      <c r="J2355" s="655">
        <v>22</v>
      </c>
      <c r="K2355" s="655">
        <v>2</v>
      </c>
      <c r="L2355" s="656" t="s">
        <v>52</v>
      </c>
      <c r="M2355" s="656" t="s">
        <v>448</v>
      </c>
      <c r="N2355" s="656" t="s">
        <v>449</v>
      </c>
      <c r="O2355" s="656" t="s">
        <v>449</v>
      </c>
      <c r="P2355" s="656" t="s">
        <v>1176</v>
      </c>
      <c r="Q2355" s="657">
        <v>0</v>
      </c>
      <c r="R2355" s="657">
        <v>0</v>
      </c>
      <c r="S2355" s="657">
        <v>2724</v>
      </c>
      <c r="T2355" s="657">
        <v>2724</v>
      </c>
      <c r="U2355" s="657">
        <v>308</v>
      </c>
      <c r="V2355" s="655">
        <v>2021</v>
      </c>
      <c r="W2355" s="659"/>
      <c r="X2355" s="660">
        <f t="shared" si="110"/>
        <v>8.8441558441558445</v>
      </c>
      <c r="Y2355" s="661" t="str">
        <f t="shared" si="108"/>
        <v/>
      </c>
      <c r="Z2355" s="661" t="str">
        <f t="shared" si="109"/>
        <v/>
      </c>
    </row>
    <row r="2356" spans="1:26" s="128" customFormat="1" ht="25" hidden="1">
      <c r="A2356" s="655">
        <v>65232</v>
      </c>
      <c r="B2356" s="656" t="s">
        <v>33</v>
      </c>
      <c r="C2356" s="655" t="s">
        <v>2793</v>
      </c>
      <c r="D2356" s="656" t="s">
        <v>3576</v>
      </c>
      <c r="E2356" s="656" t="s">
        <v>3372</v>
      </c>
      <c r="F2356" s="655">
        <v>61944</v>
      </c>
      <c r="G2356" s="656" t="s">
        <v>57</v>
      </c>
      <c r="H2356" s="656" t="s">
        <v>1182</v>
      </c>
      <c r="I2356" s="656" t="s">
        <v>1176</v>
      </c>
      <c r="J2356" s="655">
        <v>22</v>
      </c>
      <c r="K2356" s="655">
        <v>2</v>
      </c>
      <c r="L2356" s="656" t="s">
        <v>52</v>
      </c>
      <c r="M2356" s="656" t="s">
        <v>448</v>
      </c>
      <c r="N2356" s="656" t="s">
        <v>449</v>
      </c>
      <c r="O2356" s="656" t="s">
        <v>449</v>
      </c>
      <c r="P2356" s="656" t="s">
        <v>1176</v>
      </c>
      <c r="Q2356" s="657">
        <v>0</v>
      </c>
      <c r="R2356" s="657">
        <v>0</v>
      </c>
      <c r="S2356" s="657">
        <v>22824</v>
      </c>
      <c r="T2356" s="657">
        <v>22824</v>
      </c>
      <c r="U2356" s="657">
        <v>2581</v>
      </c>
      <c r="V2356" s="655">
        <v>2021</v>
      </c>
      <c r="W2356" s="659"/>
      <c r="X2356" s="660">
        <f t="shared" si="110"/>
        <v>8.8430840759395579</v>
      </c>
      <c r="Y2356" s="661" t="str">
        <f t="shared" si="108"/>
        <v/>
      </c>
      <c r="Z2356" s="661" t="str">
        <f t="shared" si="109"/>
        <v/>
      </c>
    </row>
    <row r="2357" spans="1:26" s="128" customFormat="1" ht="25" hidden="1">
      <c r="A2357" s="655">
        <v>65233</v>
      </c>
      <c r="B2357" s="656" t="s">
        <v>33</v>
      </c>
      <c r="C2357" s="655" t="s">
        <v>2793</v>
      </c>
      <c r="D2357" s="656" t="s">
        <v>3577</v>
      </c>
      <c r="E2357" s="656" t="s">
        <v>3372</v>
      </c>
      <c r="F2357" s="655">
        <v>61944</v>
      </c>
      <c r="G2357" s="656" t="s">
        <v>57</v>
      </c>
      <c r="H2357" s="656" t="s">
        <v>1182</v>
      </c>
      <c r="I2357" s="656" t="s">
        <v>1176</v>
      </c>
      <c r="J2357" s="655">
        <v>22</v>
      </c>
      <c r="K2357" s="655">
        <v>2</v>
      </c>
      <c r="L2357" s="656" t="s">
        <v>52</v>
      </c>
      <c r="M2357" s="656" t="s">
        <v>448</v>
      </c>
      <c r="N2357" s="656" t="s">
        <v>449</v>
      </c>
      <c r="O2357" s="656" t="s">
        <v>449</v>
      </c>
      <c r="P2357" s="656" t="s">
        <v>1176</v>
      </c>
      <c r="Q2357" s="657">
        <v>0</v>
      </c>
      <c r="R2357" s="657">
        <v>0</v>
      </c>
      <c r="S2357" s="657">
        <v>25590</v>
      </c>
      <c r="T2357" s="657">
        <v>25590</v>
      </c>
      <c r="U2357" s="657">
        <v>2894</v>
      </c>
      <c r="V2357" s="655">
        <v>2021</v>
      </c>
      <c r="W2357" s="659"/>
      <c r="X2357" s="660">
        <f t="shared" si="110"/>
        <v>8.8424326192121629</v>
      </c>
      <c r="Y2357" s="661" t="str">
        <f t="shared" si="108"/>
        <v/>
      </c>
      <c r="Z2357" s="661" t="str">
        <f t="shared" si="109"/>
        <v/>
      </c>
    </row>
    <row r="2358" spans="1:26" s="128" customFormat="1" ht="25">
      <c r="A2358" s="655">
        <v>65242</v>
      </c>
      <c r="B2358" s="656" t="s">
        <v>33</v>
      </c>
      <c r="C2358" s="655" t="s">
        <v>2793</v>
      </c>
      <c r="D2358" s="656" t="s">
        <v>3578</v>
      </c>
      <c r="E2358" s="656" t="s">
        <v>3579</v>
      </c>
      <c r="F2358" s="655">
        <v>64560</v>
      </c>
      <c r="G2358" s="656" t="s">
        <v>81</v>
      </c>
      <c r="H2358" s="656" t="s">
        <v>1183</v>
      </c>
      <c r="I2358" s="656" t="s">
        <v>1176</v>
      </c>
      <c r="J2358" s="655">
        <v>22</v>
      </c>
      <c r="K2358" s="655">
        <v>2</v>
      </c>
      <c r="L2358" s="656" t="s">
        <v>52</v>
      </c>
      <c r="M2358" s="656" t="s">
        <v>1890</v>
      </c>
      <c r="N2358" s="656" t="s">
        <v>1052</v>
      </c>
      <c r="O2358" s="656" t="s">
        <v>82</v>
      </c>
      <c r="P2358" s="656" t="s">
        <v>2794</v>
      </c>
      <c r="Q2358" s="657">
        <v>0</v>
      </c>
      <c r="R2358" s="657">
        <v>0</v>
      </c>
      <c r="S2358" s="657">
        <v>0</v>
      </c>
      <c r="T2358" s="657">
        <v>0</v>
      </c>
      <c r="U2358" s="657">
        <v>0</v>
      </c>
      <c r="V2358" s="655">
        <v>2021</v>
      </c>
      <c r="W2358" s="659"/>
      <c r="X2358" s="660" t="str">
        <f t="shared" si="110"/>
        <v/>
      </c>
      <c r="Y2358" s="661" t="str">
        <f t="shared" si="108"/>
        <v/>
      </c>
      <c r="Z2358" s="661" t="str">
        <f t="shared" si="109"/>
        <v/>
      </c>
    </row>
    <row r="2359" spans="1:26" s="128" customFormat="1">
      <c r="A2359" s="655">
        <v>65242</v>
      </c>
      <c r="B2359" s="656" t="s">
        <v>33</v>
      </c>
      <c r="C2359" s="655" t="s">
        <v>2793</v>
      </c>
      <c r="D2359" s="656" t="s">
        <v>3578</v>
      </c>
      <c r="E2359" s="656" t="s">
        <v>3579</v>
      </c>
      <c r="F2359" s="655">
        <v>64560</v>
      </c>
      <c r="G2359" s="656" t="s">
        <v>81</v>
      </c>
      <c r="H2359" s="656" t="s">
        <v>1183</v>
      </c>
      <c r="I2359" s="656" t="s">
        <v>1176</v>
      </c>
      <c r="J2359" s="655">
        <v>22</v>
      </c>
      <c r="K2359" s="655">
        <v>2</v>
      </c>
      <c r="L2359" s="656" t="s">
        <v>52</v>
      </c>
      <c r="M2359" s="656" t="s">
        <v>448</v>
      </c>
      <c r="N2359" s="656" t="s">
        <v>449</v>
      </c>
      <c r="O2359" s="656" t="s">
        <v>449</v>
      </c>
      <c r="P2359" s="656" t="s">
        <v>1176</v>
      </c>
      <c r="Q2359" s="657">
        <v>0</v>
      </c>
      <c r="R2359" s="657">
        <v>0</v>
      </c>
      <c r="S2359" s="657">
        <v>3254</v>
      </c>
      <c r="T2359" s="657">
        <v>3254</v>
      </c>
      <c r="U2359" s="657">
        <v>368</v>
      </c>
      <c r="V2359" s="655">
        <v>2021</v>
      </c>
      <c r="W2359" s="659"/>
      <c r="X2359" s="660">
        <f t="shared" si="110"/>
        <v>8.8423913043478262</v>
      </c>
      <c r="Y2359" s="661" t="str">
        <f t="shared" si="108"/>
        <v/>
      </c>
      <c r="Z2359" s="661" t="str">
        <f t="shared" si="109"/>
        <v/>
      </c>
    </row>
    <row r="2360" spans="1:26" s="128" customFormat="1">
      <c r="A2360" s="655">
        <v>65279</v>
      </c>
      <c r="B2360" s="656" t="s">
        <v>33</v>
      </c>
      <c r="C2360" s="655" t="s">
        <v>2793</v>
      </c>
      <c r="D2360" s="656" t="s">
        <v>3580</v>
      </c>
      <c r="E2360" s="656" t="s">
        <v>3581</v>
      </c>
      <c r="F2360" s="655">
        <v>64561</v>
      </c>
      <c r="G2360" s="656" t="s">
        <v>81</v>
      </c>
      <c r="H2360" s="656" t="s">
        <v>1183</v>
      </c>
      <c r="I2360" s="656" t="s">
        <v>1176</v>
      </c>
      <c r="J2360" s="655">
        <v>22</v>
      </c>
      <c r="K2360" s="655">
        <v>2</v>
      </c>
      <c r="L2360" s="656" t="s">
        <v>52</v>
      </c>
      <c r="M2360" s="656" t="s">
        <v>448</v>
      </c>
      <c r="N2360" s="656" t="s">
        <v>449</v>
      </c>
      <c r="O2360" s="656" t="s">
        <v>449</v>
      </c>
      <c r="P2360" s="656" t="s">
        <v>1176</v>
      </c>
      <c r="Q2360" s="657">
        <v>0</v>
      </c>
      <c r="R2360" s="657">
        <v>0</v>
      </c>
      <c r="S2360" s="657">
        <v>4386</v>
      </c>
      <c r="T2360" s="657">
        <v>4386</v>
      </c>
      <c r="U2360" s="657">
        <v>496</v>
      </c>
      <c r="V2360" s="655">
        <v>2021</v>
      </c>
      <c r="W2360" s="659"/>
      <c r="X2360" s="660">
        <f t="shared" si="110"/>
        <v>8.8427419354838701</v>
      </c>
      <c r="Y2360" s="661" t="str">
        <f t="shared" si="108"/>
        <v/>
      </c>
      <c r="Z2360" s="661" t="str">
        <f t="shared" si="109"/>
        <v/>
      </c>
    </row>
    <row r="2361" spans="1:26" s="128" customFormat="1" hidden="1">
      <c r="A2361" s="655">
        <v>65287</v>
      </c>
      <c r="B2361" s="656" t="s">
        <v>33</v>
      </c>
      <c r="C2361" s="655" t="s">
        <v>2793</v>
      </c>
      <c r="D2361" s="656" t="s">
        <v>3582</v>
      </c>
      <c r="E2361" s="656" t="s">
        <v>1965</v>
      </c>
      <c r="F2361" s="655">
        <v>58135</v>
      </c>
      <c r="G2361" s="656" t="s">
        <v>41</v>
      </c>
      <c r="H2361" s="656" t="s">
        <v>1183</v>
      </c>
      <c r="I2361" s="656" t="s">
        <v>1176</v>
      </c>
      <c r="J2361" s="655">
        <v>22</v>
      </c>
      <c r="K2361" s="655">
        <v>2</v>
      </c>
      <c r="L2361" s="656" t="s">
        <v>52</v>
      </c>
      <c r="M2361" s="656" t="s">
        <v>448</v>
      </c>
      <c r="N2361" s="656" t="s">
        <v>449</v>
      </c>
      <c r="O2361" s="656" t="s">
        <v>449</v>
      </c>
      <c r="P2361" s="656" t="s">
        <v>1176</v>
      </c>
      <c r="Q2361" s="657">
        <v>0</v>
      </c>
      <c r="R2361" s="657">
        <v>0</v>
      </c>
      <c r="S2361" s="657">
        <v>14238</v>
      </c>
      <c r="T2361" s="657">
        <v>14238</v>
      </c>
      <c r="U2361" s="657">
        <v>1610</v>
      </c>
      <c r="V2361" s="655">
        <v>2021</v>
      </c>
      <c r="W2361" s="659"/>
      <c r="X2361" s="660">
        <f t="shared" si="110"/>
        <v>8.8434782608695652</v>
      </c>
      <c r="Y2361" s="661" t="str">
        <f t="shared" si="108"/>
        <v/>
      </c>
      <c r="Z2361" s="661" t="str">
        <f t="shared" si="109"/>
        <v/>
      </c>
    </row>
    <row r="2362" spans="1:26" s="128" customFormat="1" ht="25">
      <c r="A2362" s="655">
        <v>65294</v>
      </c>
      <c r="B2362" s="656" t="s">
        <v>33</v>
      </c>
      <c r="C2362" s="655" t="s">
        <v>2793</v>
      </c>
      <c r="D2362" s="656" t="s">
        <v>3583</v>
      </c>
      <c r="E2362" s="656" t="s">
        <v>3104</v>
      </c>
      <c r="F2362" s="655">
        <v>57280</v>
      </c>
      <c r="G2362" s="656" t="s">
        <v>81</v>
      </c>
      <c r="H2362" s="656" t="s">
        <v>1183</v>
      </c>
      <c r="I2362" s="656" t="s">
        <v>1176</v>
      </c>
      <c r="J2362" s="655">
        <v>22</v>
      </c>
      <c r="K2362" s="655">
        <v>2</v>
      </c>
      <c r="L2362" s="656" t="s">
        <v>52</v>
      </c>
      <c r="M2362" s="656" t="s">
        <v>35</v>
      </c>
      <c r="N2362" s="656" t="s">
        <v>36</v>
      </c>
      <c r="O2362" s="656" t="s">
        <v>37</v>
      </c>
      <c r="P2362" s="656" t="s">
        <v>1176</v>
      </c>
      <c r="Q2362" s="657">
        <v>0</v>
      </c>
      <c r="R2362" s="657">
        <v>0</v>
      </c>
      <c r="S2362" s="657">
        <v>30816</v>
      </c>
      <c r="T2362" s="657">
        <v>30816</v>
      </c>
      <c r="U2362" s="657">
        <v>3485</v>
      </c>
      <c r="V2362" s="655">
        <v>2021</v>
      </c>
      <c r="W2362" s="659"/>
      <c r="X2362" s="660">
        <f t="shared" si="110"/>
        <v>8.8424677187948344</v>
      </c>
      <c r="Y2362" s="661" t="str">
        <f t="shared" si="108"/>
        <v/>
      </c>
      <c r="Z2362" s="661" t="str">
        <f t="shared" si="109"/>
        <v/>
      </c>
    </row>
    <row r="2363" spans="1:26" s="128" customFormat="1" hidden="1">
      <c r="A2363" s="655">
        <v>65297</v>
      </c>
      <c r="B2363" s="656" t="s">
        <v>33</v>
      </c>
      <c r="C2363" s="655" t="s">
        <v>2793</v>
      </c>
      <c r="D2363" s="656" t="s">
        <v>3584</v>
      </c>
      <c r="E2363" s="656" t="s">
        <v>3584</v>
      </c>
      <c r="F2363" s="655">
        <v>64602</v>
      </c>
      <c r="G2363" s="656" t="s">
        <v>57</v>
      </c>
      <c r="H2363" s="656" t="s">
        <v>1182</v>
      </c>
      <c r="I2363" s="656" t="s">
        <v>1176</v>
      </c>
      <c r="J2363" s="655">
        <v>22</v>
      </c>
      <c r="K2363" s="655">
        <v>2</v>
      </c>
      <c r="L2363" s="656" t="s">
        <v>52</v>
      </c>
      <c r="M2363" s="656" t="s">
        <v>448</v>
      </c>
      <c r="N2363" s="656" t="s">
        <v>449</v>
      </c>
      <c r="O2363" s="656" t="s">
        <v>449</v>
      </c>
      <c r="P2363" s="656" t="s">
        <v>1176</v>
      </c>
      <c r="Q2363" s="657">
        <v>0</v>
      </c>
      <c r="R2363" s="657">
        <v>0</v>
      </c>
      <c r="S2363" s="657">
        <v>681</v>
      </c>
      <c r="T2363" s="657">
        <v>681</v>
      </c>
      <c r="U2363" s="657">
        <v>77</v>
      </c>
      <c r="V2363" s="655">
        <v>2021</v>
      </c>
      <c r="W2363" s="659"/>
      <c r="X2363" s="660">
        <f t="shared" si="110"/>
        <v>8.8441558441558445</v>
      </c>
      <c r="Y2363" s="661" t="str">
        <f t="shared" si="108"/>
        <v/>
      </c>
      <c r="Z2363" s="661" t="str">
        <f t="shared" si="109"/>
        <v/>
      </c>
    </row>
    <row r="2364" spans="1:26" s="128" customFormat="1" hidden="1">
      <c r="A2364" s="655">
        <v>65298</v>
      </c>
      <c r="B2364" s="656" t="s">
        <v>33</v>
      </c>
      <c r="C2364" s="655" t="s">
        <v>2793</v>
      </c>
      <c r="D2364" s="656" t="s">
        <v>3585</v>
      </c>
      <c r="E2364" s="656" t="s">
        <v>3585</v>
      </c>
      <c r="F2364" s="655">
        <v>64603</v>
      </c>
      <c r="G2364" s="656" t="s">
        <v>57</v>
      </c>
      <c r="H2364" s="656" t="s">
        <v>1182</v>
      </c>
      <c r="I2364" s="656" t="s">
        <v>1176</v>
      </c>
      <c r="J2364" s="655">
        <v>22</v>
      </c>
      <c r="K2364" s="655">
        <v>2</v>
      </c>
      <c r="L2364" s="656" t="s">
        <v>52</v>
      </c>
      <c r="M2364" s="656" t="s">
        <v>448</v>
      </c>
      <c r="N2364" s="656" t="s">
        <v>449</v>
      </c>
      <c r="O2364" s="656" t="s">
        <v>449</v>
      </c>
      <c r="P2364" s="656" t="s">
        <v>1176</v>
      </c>
      <c r="Q2364" s="657">
        <v>0</v>
      </c>
      <c r="R2364" s="657">
        <v>0</v>
      </c>
      <c r="S2364" s="657">
        <v>4554</v>
      </c>
      <c r="T2364" s="657">
        <v>4554</v>
      </c>
      <c r="U2364" s="657">
        <v>515</v>
      </c>
      <c r="V2364" s="655">
        <v>2021</v>
      </c>
      <c r="W2364" s="659"/>
      <c r="X2364" s="660">
        <f t="shared" si="110"/>
        <v>8.8427184466019426</v>
      </c>
      <c r="Y2364" s="661" t="str">
        <f t="shared" si="108"/>
        <v/>
      </c>
      <c r="Z2364" s="661" t="str">
        <f t="shared" si="109"/>
        <v/>
      </c>
    </row>
    <row r="2365" spans="1:26" s="128" customFormat="1" hidden="1">
      <c r="A2365" s="655">
        <v>65299</v>
      </c>
      <c r="B2365" s="656" t="s">
        <v>33</v>
      </c>
      <c r="C2365" s="655" t="s">
        <v>2793</v>
      </c>
      <c r="D2365" s="656" t="s">
        <v>3586</v>
      </c>
      <c r="E2365" s="656" t="s">
        <v>3586</v>
      </c>
      <c r="F2365" s="655">
        <v>64604</v>
      </c>
      <c r="G2365" s="656" t="s">
        <v>57</v>
      </c>
      <c r="H2365" s="656" t="s">
        <v>1182</v>
      </c>
      <c r="I2365" s="656" t="s">
        <v>1176</v>
      </c>
      <c r="J2365" s="655">
        <v>22</v>
      </c>
      <c r="K2365" s="655">
        <v>2</v>
      </c>
      <c r="L2365" s="656" t="s">
        <v>52</v>
      </c>
      <c r="M2365" s="656" t="s">
        <v>448</v>
      </c>
      <c r="N2365" s="656" t="s">
        <v>449</v>
      </c>
      <c r="O2365" s="656" t="s">
        <v>449</v>
      </c>
      <c r="P2365" s="656" t="s">
        <v>1176</v>
      </c>
      <c r="Q2365" s="657">
        <v>0</v>
      </c>
      <c r="R2365" s="657">
        <v>0</v>
      </c>
      <c r="S2365" s="657">
        <v>0</v>
      </c>
      <c r="T2365" s="657">
        <v>0</v>
      </c>
      <c r="U2365" s="657">
        <v>0</v>
      </c>
      <c r="V2365" s="655">
        <v>2021</v>
      </c>
      <c r="W2365" s="659"/>
      <c r="X2365" s="660" t="str">
        <f t="shared" si="110"/>
        <v/>
      </c>
      <c r="Y2365" s="661" t="str">
        <f t="shared" si="108"/>
        <v/>
      </c>
      <c r="Z2365" s="661" t="str">
        <f t="shared" si="109"/>
        <v/>
      </c>
    </row>
    <row r="2366" spans="1:26" s="128" customFormat="1" hidden="1">
      <c r="A2366" s="655">
        <v>65300</v>
      </c>
      <c r="B2366" s="656" t="s">
        <v>33</v>
      </c>
      <c r="C2366" s="655" t="s">
        <v>2793</v>
      </c>
      <c r="D2366" s="656" t="s">
        <v>3587</v>
      </c>
      <c r="E2366" s="656" t="s">
        <v>3587</v>
      </c>
      <c r="F2366" s="655">
        <v>64605</v>
      </c>
      <c r="G2366" s="656" t="s">
        <v>57</v>
      </c>
      <c r="H2366" s="656" t="s">
        <v>1182</v>
      </c>
      <c r="I2366" s="656" t="s">
        <v>1176</v>
      </c>
      <c r="J2366" s="655">
        <v>22</v>
      </c>
      <c r="K2366" s="655">
        <v>2</v>
      </c>
      <c r="L2366" s="656" t="s">
        <v>52</v>
      </c>
      <c r="M2366" s="656" t="s">
        <v>448</v>
      </c>
      <c r="N2366" s="656" t="s">
        <v>449</v>
      </c>
      <c r="O2366" s="656" t="s">
        <v>449</v>
      </c>
      <c r="P2366" s="656" t="s">
        <v>1176</v>
      </c>
      <c r="Q2366" s="657">
        <v>0</v>
      </c>
      <c r="R2366" s="657">
        <v>0</v>
      </c>
      <c r="S2366" s="657">
        <v>3997</v>
      </c>
      <c r="T2366" s="657">
        <v>3997</v>
      </c>
      <c r="U2366" s="657">
        <v>452</v>
      </c>
      <c r="V2366" s="655">
        <v>2021</v>
      </c>
      <c r="W2366" s="659"/>
      <c r="X2366" s="660">
        <f t="shared" si="110"/>
        <v>8.8429203539823007</v>
      </c>
      <c r="Y2366" s="661" t="str">
        <f t="shared" si="108"/>
        <v/>
      </c>
      <c r="Z2366" s="661" t="str">
        <f t="shared" si="109"/>
        <v/>
      </c>
    </row>
    <row r="2367" spans="1:26" s="128" customFormat="1" hidden="1">
      <c r="A2367" s="655">
        <v>65352</v>
      </c>
      <c r="B2367" s="656" t="s">
        <v>33</v>
      </c>
      <c r="C2367" s="655" t="s">
        <v>2793</v>
      </c>
      <c r="D2367" s="656" t="s">
        <v>3588</v>
      </c>
      <c r="E2367" s="656" t="s">
        <v>1965</v>
      </c>
      <c r="F2367" s="655">
        <v>58135</v>
      </c>
      <c r="G2367" s="656" t="s">
        <v>89</v>
      </c>
      <c r="H2367" s="656" t="s">
        <v>1183</v>
      </c>
      <c r="I2367" s="656" t="s">
        <v>1176</v>
      </c>
      <c r="J2367" s="655">
        <v>22</v>
      </c>
      <c r="K2367" s="655">
        <v>2</v>
      </c>
      <c r="L2367" s="656" t="s">
        <v>52</v>
      </c>
      <c r="M2367" s="656" t="s">
        <v>448</v>
      </c>
      <c r="N2367" s="656" t="s">
        <v>449</v>
      </c>
      <c r="O2367" s="656" t="s">
        <v>449</v>
      </c>
      <c r="P2367" s="656" t="s">
        <v>1176</v>
      </c>
      <c r="Q2367" s="657">
        <v>0</v>
      </c>
      <c r="R2367" s="657">
        <v>0</v>
      </c>
      <c r="S2367" s="657">
        <v>8366</v>
      </c>
      <c r="T2367" s="657">
        <v>8366</v>
      </c>
      <c r="U2367" s="657">
        <v>946</v>
      </c>
      <c r="V2367" s="655">
        <v>2021</v>
      </c>
      <c r="W2367" s="659"/>
      <c r="X2367" s="660">
        <f t="shared" si="110"/>
        <v>8.8435517970401687</v>
      </c>
      <c r="Y2367" s="661" t="str">
        <f t="shared" si="108"/>
        <v/>
      </c>
      <c r="Z2367" s="661" t="str">
        <f t="shared" si="109"/>
        <v/>
      </c>
    </row>
    <row r="2368" spans="1:26" s="128" customFormat="1" hidden="1">
      <c r="A2368" s="655">
        <v>65353</v>
      </c>
      <c r="B2368" s="656" t="s">
        <v>33</v>
      </c>
      <c r="C2368" s="655" t="s">
        <v>2793</v>
      </c>
      <c r="D2368" s="656" t="s">
        <v>3589</v>
      </c>
      <c r="E2368" s="656" t="s">
        <v>1965</v>
      </c>
      <c r="F2368" s="655">
        <v>58135</v>
      </c>
      <c r="G2368" s="656" t="s">
        <v>41</v>
      </c>
      <c r="H2368" s="656" t="s">
        <v>1183</v>
      </c>
      <c r="I2368" s="656" t="s">
        <v>1176</v>
      </c>
      <c r="J2368" s="655">
        <v>22</v>
      </c>
      <c r="K2368" s="655">
        <v>2</v>
      </c>
      <c r="L2368" s="656" t="s">
        <v>52</v>
      </c>
      <c r="M2368" s="656" t="s">
        <v>448</v>
      </c>
      <c r="N2368" s="656" t="s">
        <v>449</v>
      </c>
      <c r="O2368" s="656" t="s">
        <v>449</v>
      </c>
      <c r="P2368" s="656" t="s">
        <v>1176</v>
      </c>
      <c r="Q2368" s="657">
        <v>0</v>
      </c>
      <c r="R2368" s="657">
        <v>0</v>
      </c>
      <c r="S2368" s="657">
        <v>2546</v>
      </c>
      <c r="T2368" s="657">
        <v>2546</v>
      </c>
      <c r="U2368" s="657">
        <v>288</v>
      </c>
      <c r="V2368" s="655">
        <v>2021</v>
      </c>
      <c r="W2368" s="659"/>
      <c r="X2368" s="660">
        <f t="shared" si="110"/>
        <v>8.8402777777777786</v>
      </c>
      <c r="Y2368" s="661" t="str">
        <f t="shared" si="108"/>
        <v/>
      </c>
      <c r="Z2368" s="661" t="str">
        <f t="shared" si="109"/>
        <v/>
      </c>
    </row>
    <row r="2369" spans="1:26" s="128" customFormat="1" hidden="1">
      <c r="A2369" s="655">
        <v>65370</v>
      </c>
      <c r="B2369" s="656" t="s">
        <v>33</v>
      </c>
      <c r="C2369" s="655" t="s">
        <v>2793</v>
      </c>
      <c r="D2369" s="656" t="s">
        <v>3590</v>
      </c>
      <c r="E2369" s="656" t="s">
        <v>3590</v>
      </c>
      <c r="F2369" s="655">
        <v>64687</v>
      </c>
      <c r="G2369" s="656" t="s">
        <v>90</v>
      </c>
      <c r="H2369" s="656" t="s">
        <v>1183</v>
      </c>
      <c r="I2369" s="656" t="s">
        <v>1176</v>
      </c>
      <c r="J2369" s="655">
        <v>22</v>
      </c>
      <c r="K2369" s="655">
        <v>2</v>
      </c>
      <c r="L2369" s="656" t="s">
        <v>52</v>
      </c>
      <c r="M2369" s="656" t="s">
        <v>448</v>
      </c>
      <c r="N2369" s="656" t="s">
        <v>449</v>
      </c>
      <c r="O2369" s="656" t="s">
        <v>449</v>
      </c>
      <c r="P2369" s="656" t="s">
        <v>1176</v>
      </c>
      <c r="Q2369" s="657">
        <v>0</v>
      </c>
      <c r="R2369" s="657">
        <v>0</v>
      </c>
      <c r="S2369" s="657">
        <v>0</v>
      </c>
      <c r="T2369" s="657">
        <v>0</v>
      </c>
      <c r="U2369" s="657">
        <v>0</v>
      </c>
      <c r="V2369" s="655">
        <v>2021</v>
      </c>
      <c r="W2369" s="659"/>
      <c r="X2369" s="660" t="str">
        <f t="shared" si="110"/>
        <v/>
      </c>
      <c r="Y2369" s="661" t="str">
        <f t="shared" si="108"/>
        <v/>
      </c>
      <c r="Z2369" s="661" t="str">
        <f t="shared" si="109"/>
        <v/>
      </c>
    </row>
    <row r="2370" spans="1:26" s="128" customFormat="1" hidden="1">
      <c r="A2370" s="655">
        <v>65379</v>
      </c>
      <c r="B2370" s="656" t="s">
        <v>33</v>
      </c>
      <c r="C2370" s="655" t="s">
        <v>2793</v>
      </c>
      <c r="D2370" s="656" t="s">
        <v>3591</v>
      </c>
      <c r="E2370" s="656" t="s">
        <v>3592</v>
      </c>
      <c r="F2370" s="655">
        <v>64699</v>
      </c>
      <c r="G2370" s="656" t="s">
        <v>57</v>
      </c>
      <c r="H2370" s="656" t="s">
        <v>1182</v>
      </c>
      <c r="I2370" s="656" t="s">
        <v>1176</v>
      </c>
      <c r="J2370" s="655">
        <v>22</v>
      </c>
      <c r="K2370" s="655">
        <v>2</v>
      </c>
      <c r="L2370" s="656" t="s">
        <v>52</v>
      </c>
      <c r="M2370" s="656" t="s">
        <v>448</v>
      </c>
      <c r="N2370" s="656" t="s">
        <v>449</v>
      </c>
      <c r="O2370" s="656" t="s">
        <v>449</v>
      </c>
      <c r="P2370" s="656" t="s">
        <v>1176</v>
      </c>
      <c r="Q2370" s="657">
        <v>0</v>
      </c>
      <c r="R2370" s="657">
        <v>0</v>
      </c>
      <c r="S2370" s="657">
        <v>177</v>
      </c>
      <c r="T2370" s="657">
        <v>177</v>
      </c>
      <c r="U2370" s="657">
        <v>20</v>
      </c>
      <c r="V2370" s="655">
        <v>2021</v>
      </c>
      <c r="W2370" s="659"/>
      <c r="X2370" s="660">
        <f t="shared" si="110"/>
        <v>8.85</v>
      </c>
      <c r="Y2370" s="661" t="str">
        <f t="shared" si="108"/>
        <v/>
      </c>
      <c r="Z2370" s="661" t="str">
        <f t="shared" si="109"/>
        <v/>
      </c>
    </row>
    <row r="2371" spans="1:26" s="128" customFormat="1" ht="25" hidden="1">
      <c r="A2371" s="655">
        <v>65460</v>
      </c>
      <c r="B2371" s="656" t="s">
        <v>33</v>
      </c>
      <c r="C2371" s="655" t="s">
        <v>2793</v>
      </c>
      <c r="D2371" s="656" t="s">
        <v>3593</v>
      </c>
      <c r="E2371" s="656" t="s">
        <v>3477</v>
      </c>
      <c r="F2371" s="655">
        <v>62915</v>
      </c>
      <c r="G2371" s="656" t="s">
        <v>90</v>
      </c>
      <c r="H2371" s="656" t="s">
        <v>1183</v>
      </c>
      <c r="I2371" s="656" t="s">
        <v>1176</v>
      </c>
      <c r="J2371" s="655">
        <v>22</v>
      </c>
      <c r="K2371" s="655">
        <v>2</v>
      </c>
      <c r="L2371" s="656" t="s">
        <v>52</v>
      </c>
      <c r="M2371" s="656" t="s">
        <v>448</v>
      </c>
      <c r="N2371" s="656" t="s">
        <v>449</v>
      </c>
      <c r="O2371" s="656" t="s">
        <v>449</v>
      </c>
      <c r="P2371" s="656" t="s">
        <v>1176</v>
      </c>
      <c r="Q2371" s="657">
        <v>0</v>
      </c>
      <c r="R2371" s="657">
        <v>0</v>
      </c>
      <c r="S2371" s="657">
        <v>0</v>
      </c>
      <c r="T2371" s="657">
        <v>0</v>
      </c>
      <c r="U2371" s="657">
        <v>0</v>
      </c>
      <c r="V2371" s="655">
        <v>2021</v>
      </c>
      <c r="W2371" s="659"/>
      <c r="X2371" s="660" t="str">
        <f t="shared" si="110"/>
        <v/>
      </c>
      <c r="Y2371" s="661" t="str">
        <f t="shared" si="108"/>
        <v/>
      </c>
      <c r="Z2371" s="661" t="str">
        <f t="shared" si="109"/>
        <v/>
      </c>
    </row>
    <row r="2372" spans="1:26" s="128" customFormat="1" ht="25" hidden="1">
      <c r="A2372" s="655">
        <v>65461</v>
      </c>
      <c r="B2372" s="656" t="s">
        <v>33</v>
      </c>
      <c r="C2372" s="655" t="s">
        <v>2793</v>
      </c>
      <c r="D2372" s="656" t="s">
        <v>3594</v>
      </c>
      <c r="E2372" s="656" t="s">
        <v>3477</v>
      </c>
      <c r="F2372" s="655">
        <v>62915</v>
      </c>
      <c r="G2372" s="656" t="s">
        <v>90</v>
      </c>
      <c r="H2372" s="656" t="s">
        <v>1183</v>
      </c>
      <c r="I2372" s="656" t="s">
        <v>1176</v>
      </c>
      <c r="J2372" s="655">
        <v>22</v>
      </c>
      <c r="K2372" s="655">
        <v>2</v>
      </c>
      <c r="L2372" s="656" t="s">
        <v>52</v>
      </c>
      <c r="M2372" s="656" t="s">
        <v>448</v>
      </c>
      <c r="N2372" s="656" t="s">
        <v>449</v>
      </c>
      <c r="O2372" s="656" t="s">
        <v>449</v>
      </c>
      <c r="P2372" s="656" t="s">
        <v>1176</v>
      </c>
      <c r="Q2372" s="657">
        <v>0</v>
      </c>
      <c r="R2372" s="657">
        <v>0</v>
      </c>
      <c r="S2372" s="657">
        <v>0</v>
      </c>
      <c r="T2372" s="657">
        <v>0</v>
      </c>
      <c r="U2372" s="657">
        <v>0</v>
      </c>
      <c r="V2372" s="655">
        <v>2021</v>
      </c>
      <c r="W2372" s="659"/>
      <c r="X2372" s="660" t="str">
        <f t="shared" si="110"/>
        <v/>
      </c>
      <c r="Y2372" s="661" t="str">
        <f t="shared" si="108"/>
        <v/>
      </c>
      <c r="Z2372" s="661" t="str">
        <f t="shared" si="109"/>
        <v/>
      </c>
    </row>
    <row r="2373" spans="1:26" s="128" customFormat="1" ht="25" hidden="1">
      <c r="A2373" s="655">
        <v>65473</v>
      </c>
      <c r="B2373" s="656" t="s">
        <v>33</v>
      </c>
      <c r="C2373" s="655" t="s">
        <v>2793</v>
      </c>
      <c r="D2373" s="656" t="s">
        <v>3595</v>
      </c>
      <c r="E2373" s="656" t="s">
        <v>3595</v>
      </c>
      <c r="F2373" s="655">
        <v>64790</v>
      </c>
      <c r="G2373" s="656" t="s">
        <v>131</v>
      </c>
      <c r="H2373" s="656" t="s">
        <v>1183</v>
      </c>
      <c r="I2373" s="656" t="s">
        <v>1176</v>
      </c>
      <c r="J2373" s="655">
        <v>22</v>
      </c>
      <c r="K2373" s="655">
        <v>2</v>
      </c>
      <c r="L2373" s="656" t="s">
        <v>52</v>
      </c>
      <c r="M2373" s="656" t="s">
        <v>448</v>
      </c>
      <c r="N2373" s="656" t="s">
        <v>449</v>
      </c>
      <c r="O2373" s="656" t="s">
        <v>449</v>
      </c>
      <c r="P2373" s="656" t="s">
        <v>1176</v>
      </c>
      <c r="Q2373" s="657">
        <v>0</v>
      </c>
      <c r="R2373" s="657">
        <v>0</v>
      </c>
      <c r="S2373" s="657">
        <v>9</v>
      </c>
      <c r="T2373" s="657">
        <v>9</v>
      </c>
      <c r="U2373" s="657">
        <v>1</v>
      </c>
      <c r="V2373" s="655">
        <v>2021</v>
      </c>
      <c r="W2373" s="659"/>
      <c r="X2373" s="660">
        <f t="shared" si="110"/>
        <v>9</v>
      </c>
      <c r="Y2373" s="661" t="str">
        <f t="shared" si="108"/>
        <v/>
      </c>
      <c r="Z2373" s="661" t="str">
        <f t="shared" si="109"/>
        <v/>
      </c>
    </row>
    <row r="2374" spans="1:26" s="128" customFormat="1" hidden="1">
      <c r="A2374" s="655">
        <v>65474</v>
      </c>
      <c r="B2374" s="656" t="s">
        <v>33</v>
      </c>
      <c r="C2374" s="655" t="s">
        <v>2793</v>
      </c>
      <c r="D2374" s="656" t="s">
        <v>3596</v>
      </c>
      <c r="E2374" s="656" t="s">
        <v>3596</v>
      </c>
      <c r="F2374" s="655">
        <v>64791</v>
      </c>
      <c r="G2374" s="656" t="s">
        <v>131</v>
      </c>
      <c r="H2374" s="656" t="s">
        <v>1183</v>
      </c>
      <c r="I2374" s="656" t="s">
        <v>1176</v>
      </c>
      <c r="J2374" s="655">
        <v>22</v>
      </c>
      <c r="K2374" s="655">
        <v>2</v>
      </c>
      <c r="L2374" s="656" t="s">
        <v>52</v>
      </c>
      <c r="M2374" s="656" t="s">
        <v>448</v>
      </c>
      <c r="N2374" s="656" t="s">
        <v>449</v>
      </c>
      <c r="O2374" s="656" t="s">
        <v>449</v>
      </c>
      <c r="P2374" s="656" t="s">
        <v>1176</v>
      </c>
      <c r="Q2374" s="657">
        <v>0</v>
      </c>
      <c r="R2374" s="657">
        <v>0</v>
      </c>
      <c r="S2374" s="657">
        <v>9</v>
      </c>
      <c r="T2374" s="657">
        <v>9</v>
      </c>
      <c r="U2374" s="657">
        <v>1</v>
      </c>
      <c r="V2374" s="655">
        <v>2021</v>
      </c>
      <c r="W2374" s="659"/>
      <c r="X2374" s="660">
        <f t="shared" si="110"/>
        <v>9</v>
      </c>
      <c r="Y2374" s="661" t="str">
        <f t="shared" si="108"/>
        <v/>
      </c>
      <c r="Z2374" s="661" t="str">
        <f t="shared" si="109"/>
        <v/>
      </c>
    </row>
    <row r="2375" spans="1:26" s="128" customFormat="1" hidden="1">
      <c r="A2375" s="655">
        <v>65475</v>
      </c>
      <c r="B2375" s="656" t="s">
        <v>33</v>
      </c>
      <c r="C2375" s="655" t="s">
        <v>2793</v>
      </c>
      <c r="D2375" s="656" t="s">
        <v>3597</v>
      </c>
      <c r="E2375" s="656" t="s">
        <v>3597</v>
      </c>
      <c r="F2375" s="655">
        <v>64792</v>
      </c>
      <c r="G2375" s="656" t="s">
        <v>131</v>
      </c>
      <c r="H2375" s="656" t="s">
        <v>1183</v>
      </c>
      <c r="I2375" s="656" t="s">
        <v>1176</v>
      </c>
      <c r="J2375" s="655">
        <v>22</v>
      </c>
      <c r="K2375" s="655">
        <v>2</v>
      </c>
      <c r="L2375" s="656" t="s">
        <v>52</v>
      </c>
      <c r="M2375" s="656" t="s">
        <v>448</v>
      </c>
      <c r="N2375" s="656" t="s">
        <v>449</v>
      </c>
      <c r="O2375" s="656" t="s">
        <v>449</v>
      </c>
      <c r="P2375" s="656" t="s">
        <v>1176</v>
      </c>
      <c r="Q2375" s="657">
        <v>0</v>
      </c>
      <c r="R2375" s="657">
        <v>0</v>
      </c>
      <c r="S2375" s="657">
        <v>9</v>
      </c>
      <c r="T2375" s="657">
        <v>9</v>
      </c>
      <c r="U2375" s="657">
        <v>1</v>
      </c>
      <c r="V2375" s="655">
        <v>2021</v>
      </c>
      <c r="W2375" s="659"/>
      <c r="X2375" s="660">
        <f t="shared" si="110"/>
        <v>9</v>
      </c>
      <c r="Y2375" s="661" t="str">
        <f t="shared" ref="Y2375:Y2428" si="111">IF(AND($M2375=$Y$2,$N2375=$Y$3,NOT($Q2375=$R2375),NOT($U2375=0)),IF($K2375=5,$S2375/($U2375+(8/5)*$U2375),IF($K2375=7,$S2375/($U2375+(29/25)*$U2375),"")),"")</f>
        <v/>
      </c>
      <c r="Z2375" s="661" t="str">
        <f t="shared" ref="Z2375:Z2428" si="112">IF(AND($M2375=$Y$2,$N2375=$Y$4,NOT($Q2375=$R2375),NOT($U2375=0)),IF($K2375=5,$S2375/($U2375+(8/5)*$U2375),IF($K2375=7,$S2375/($U2375+(29/25)*$U2375),"")),"")</f>
        <v/>
      </c>
    </row>
    <row r="2376" spans="1:26" s="128" customFormat="1" hidden="1">
      <c r="A2376" s="655">
        <v>65476</v>
      </c>
      <c r="B2376" s="656" t="s">
        <v>33</v>
      </c>
      <c r="C2376" s="655" t="s">
        <v>2793</v>
      </c>
      <c r="D2376" s="656" t="s">
        <v>3598</v>
      </c>
      <c r="E2376" s="656" t="s">
        <v>3598</v>
      </c>
      <c r="F2376" s="655">
        <v>64793</v>
      </c>
      <c r="G2376" s="656" t="s">
        <v>131</v>
      </c>
      <c r="H2376" s="656" t="s">
        <v>1183</v>
      </c>
      <c r="I2376" s="656" t="s">
        <v>1176</v>
      </c>
      <c r="J2376" s="655">
        <v>22</v>
      </c>
      <c r="K2376" s="655">
        <v>2</v>
      </c>
      <c r="L2376" s="656" t="s">
        <v>52</v>
      </c>
      <c r="M2376" s="656" t="s">
        <v>448</v>
      </c>
      <c r="N2376" s="656" t="s">
        <v>449</v>
      </c>
      <c r="O2376" s="656" t="s">
        <v>449</v>
      </c>
      <c r="P2376" s="656" t="s">
        <v>1176</v>
      </c>
      <c r="Q2376" s="657">
        <v>0</v>
      </c>
      <c r="R2376" s="657">
        <v>0</v>
      </c>
      <c r="S2376" s="657">
        <v>9</v>
      </c>
      <c r="T2376" s="657">
        <v>9</v>
      </c>
      <c r="U2376" s="657">
        <v>1</v>
      </c>
      <c r="V2376" s="655">
        <v>2021</v>
      </c>
      <c r="W2376" s="659"/>
      <c r="X2376" s="660">
        <f t="shared" ref="X2376:X2428" si="113">IF(OR(K2376&gt;3,T2376=0,NOT(U2376&gt;0)),"",T2376/U2376)</f>
        <v>9</v>
      </c>
      <c r="Y2376" s="661" t="str">
        <f t="shared" si="111"/>
        <v/>
      </c>
      <c r="Z2376" s="661" t="str">
        <f t="shared" si="112"/>
        <v/>
      </c>
    </row>
    <row r="2377" spans="1:26" s="128" customFormat="1" hidden="1">
      <c r="A2377" s="655">
        <v>65477</v>
      </c>
      <c r="B2377" s="656" t="s">
        <v>33</v>
      </c>
      <c r="C2377" s="655" t="s">
        <v>2793</v>
      </c>
      <c r="D2377" s="656" t="s">
        <v>3599</v>
      </c>
      <c r="E2377" s="656" t="s">
        <v>3599</v>
      </c>
      <c r="F2377" s="655">
        <v>64794</v>
      </c>
      <c r="G2377" s="656" t="s">
        <v>131</v>
      </c>
      <c r="H2377" s="656" t="s">
        <v>1183</v>
      </c>
      <c r="I2377" s="656" t="s">
        <v>1176</v>
      </c>
      <c r="J2377" s="655">
        <v>22</v>
      </c>
      <c r="K2377" s="655">
        <v>2</v>
      </c>
      <c r="L2377" s="656" t="s">
        <v>52</v>
      </c>
      <c r="M2377" s="656" t="s">
        <v>448</v>
      </c>
      <c r="N2377" s="656" t="s">
        <v>449</v>
      </c>
      <c r="O2377" s="656" t="s">
        <v>449</v>
      </c>
      <c r="P2377" s="656" t="s">
        <v>1176</v>
      </c>
      <c r="Q2377" s="657">
        <v>0</v>
      </c>
      <c r="R2377" s="657">
        <v>0</v>
      </c>
      <c r="S2377" s="657">
        <v>9</v>
      </c>
      <c r="T2377" s="657">
        <v>9</v>
      </c>
      <c r="U2377" s="657">
        <v>1</v>
      </c>
      <c r="V2377" s="655">
        <v>2021</v>
      </c>
      <c r="W2377" s="659"/>
      <c r="X2377" s="660">
        <f t="shared" si="113"/>
        <v>9</v>
      </c>
      <c r="Y2377" s="661" t="str">
        <f t="shared" si="111"/>
        <v/>
      </c>
      <c r="Z2377" s="661" t="str">
        <f t="shared" si="112"/>
        <v/>
      </c>
    </row>
    <row r="2378" spans="1:26" s="128" customFormat="1" ht="25" hidden="1">
      <c r="A2378" s="655">
        <v>65478</v>
      </c>
      <c r="B2378" s="656" t="s">
        <v>33</v>
      </c>
      <c r="C2378" s="655" t="s">
        <v>2793</v>
      </c>
      <c r="D2378" s="656" t="s">
        <v>3600</v>
      </c>
      <c r="E2378" s="656" t="s">
        <v>3601</v>
      </c>
      <c r="F2378" s="655">
        <v>64795</v>
      </c>
      <c r="G2378" s="656" t="s">
        <v>131</v>
      </c>
      <c r="H2378" s="656" t="s">
        <v>1183</v>
      </c>
      <c r="I2378" s="656" t="s">
        <v>1176</v>
      </c>
      <c r="J2378" s="655">
        <v>22</v>
      </c>
      <c r="K2378" s="655">
        <v>2</v>
      </c>
      <c r="L2378" s="656" t="s">
        <v>52</v>
      </c>
      <c r="M2378" s="656" t="s">
        <v>71</v>
      </c>
      <c r="N2378" s="656" t="s">
        <v>72</v>
      </c>
      <c r="O2378" s="656" t="s">
        <v>72</v>
      </c>
      <c r="P2378" s="656" t="s">
        <v>1176</v>
      </c>
      <c r="Q2378" s="657">
        <v>0</v>
      </c>
      <c r="R2378" s="657">
        <v>0</v>
      </c>
      <c r="S2378" s="657">
        <v>9</v>
      </c>
      <c r="T2378" s="657">
        <v>9</v>
      </c>
      <c r="U2378" s="657">
        <v>1</v>
      </c>
      <c r="V2378" s="655">
        <v>2021</v>
      </c>
      <c r="W2378" s="659"/>
      <c r="X2378" s="660">
        <f t="shared" si="113"/>
        <v>9</v>
      </c>
      <c r="Y2378" s="661" t="str">
        <f t="shared" si="111"/>
        <v/>
      </c>
      <c r="Z2378" s="661" t="str">
        <f t="shared" si="112"/>
        <v/>
      </c>
    </row>
    <row r="2379" spans="1:26" s="128" customFormat="1" ht="25" hidden="1">
      <c r="A2379" s="655">
        <v>65479</v>
      </c>
      <c r="B2379" s="656" t="s">
        <v>33</v>
      </c>
      <c r="C2379" s="655" t="s">
        <v>2793</v>
      </c>
      <c r="D2379" s="656" t="s">
        <v>3602</v>
      </c>
      <c r="E2379" s="656" t="s">
        <v>3602</v>
      </c>
      <c r="F2379" s="655">
        <v>64796</v>
      </c>
      <c r="G2379" s="656" t="s">
        <v>131</v>
      </c>
      <c r="H2379" s="656" t="s">
        <v>1183</v>
      </c>
      <c r="I2379" s="656" t="s">
        <v>1176</v>
      </c>
      <c r="J2379" s="655">
        <v>22</v>
      </c>
      <c r="K2379" s="655">
        <v>2</v>
      </c>
      <c r="L2379" s="656" t="s">
        <v>52</v>
      </c>
      <c r="M2379" s="656" t="s">
        <v>71</v>
      </c>
      <c r="N2379" s="656" t="s">
        <v>72</v>
      </c>
      <c r="O2379" s="656" t="s">
        <v>72</v>
      </c>
      <c r="P2379" s="656" t="s">
        <v>1176</v>
      </c>
      <c r="Q2379" s="657">
        <v>0</v>
      </c>
      <c r="R2379" s="657">
        <v>0</v>
      </c>
      <c r="S2379" s="657">
        <v>9</v>
      </c>
      <c r="T2379" s="657">
        <v>9</v>
      </c>
      <c r="U2379" s="657">
        <v>1</v>
      </c>
      <c r="V2379" s="655">
        <v>2021</v>
      </c>
      <c r="W2379" s="659"/>
      <c r="X2379" s="660">
        <f t="shared" si="113"/>
        <v>9</v>
      </c>
      <c r="Y2379" s="661" t="str">
        <f t="shared" si="111"/>
        <v/>
      </c>
      <c r="Z2379" s="661" t="str">
        <f t="shared" si="112"/>
        <v/>
      </c>
    </row>
    <row r="2380" spans="1:26" s="128" customFormat="1" hidden="1">
      <c r="A2380" s="655">
        <v>65613</v>
      </c>
      <c r="B2380" s="656" t="s">
        <v>33</v>
      </c>
      <c r="C2380" s="655" t="s">
        <v>2793</v>
      </c>
      <c r="D2380" s="656" t="s">
        <v>3603</v>
      </c>
      <c r="E2380" s="656" t="s">
        <v>3604</v>
      </c>
      <c r="F2380" s="655">
        <v>64904</v>
      </c>
      <c r="G2380" s="656" t="s">
        <v>57</v>
      </c>
      <c r="H2380" s="656" t="s">
        <v>1182</v>
      </c>
      <c r="I2380" s="656" t="s">
        <v>1176</v>
      </c>
      <c r="J2380" s="655">
        <v>22</v>
      </c>
      <c r="K2380" s="655">
        <v>2</v>
      </c>
      <c r="L2380" s="656" t="s">
        <v>52</v>
      </c>
      <c r="M2380" s="656" t="s">
        <v>448</v>
      </c>
      <c r="N2380" s="656" t="s">
        <v>449</v>
      </c>
      <c r="O2380" s="656" t="s">
        <v>449</v>
      </c>
      <c r="P2380" s="656" t="s">
        <v>1176</v>
      </c>
      <c r="Q2380" s="657">
        <v>0</v>
      </c>
      <c r="R2380" s="657">
        <v>0</v>
      </c>
      <c r="S2380" s="657">
        <v>0</v>
      </c>
      <c r="T2380" s="657">
        <v>0</v>
      </c>
      <c r="U2380" s="657">
        <v>0</v>
      </c>
      <c r="V2380" s="655">
        <v>2021</v>
      </c>
      <c r="W2380" s="659"/>
      <c r="X2380" s="660" t="str">
        <f t="shared" si="113"/>
        <v/>
      </c>
      <c r="Y2380" s="661" t="str">
        <f t="shared" si="111"/>
        <v/>
      </c>
      <c r="Z2380" s="661" t="str">
        <f t="shared" si="112"/>
        <v/>
      </c>
    </row>
    <row r="2381" spans="1:26" s="128" customFormat="1" hidden="1">
      <c r="A2381" s="655">
        <v>65643</v>
      </c>
      <c r="B2381" s="656" t="s">
        <v>33</v>
      </c>
      <c r="C2381" s="655" t="s">
        <v>2793</v>
      </c>
      <c r="D2381" s="656" t="s">
        <v>3605</v>
      </c>
      <c r="E2381" s="656" t="s">
        <v>3606</v>
      </c>
      <c r="F2381" s="655">
        <v>63466</v>
      </c>
      <c r="G2381" s="656" t="s">
        <v>57</v>
      </c>
      <c r="H2381" s="656" t="s">
        <v>1182</v>
      </c>
      <c r="I2381" s="656" t="s">
        <v>1176</v>
      </c>
      <c r="J2381" s="655">
        <v>22</v>
      </c>
      <c r="K2381" s="655">
        <v>2</v>
      </c>
      <c r="L2381" s="656" t="s">
        <v>52</v>
      </c>
      <c r="M2381" s="656" t="s">
        <v>448</v>
      </c>
      <c r="N2381" s="656" t="s">
        <v>449</v>
      </c>
      <c r="O2381" s="656" t="s">
        <v>449</v>
      </c>
      <c r="P2381" s="656" t="s">
        <v>1176</v>
      </c>
      <c r="Q2381" s="657">
        <v>0</v>
      </c>
      <c r="R2381" s="657">
        <v>0</v>
      </c>
      <c r="S2381" s="657">
        <v>25265</v>
      </c>
      <c r="T2381" s="657">
        <v>25265</v>
      </c>
      <c r="U2381" s="657">
        <v>2857</v>
      </c>
      <c r="V2381" s="655">
        <v>2021</v>
      </c>
      <c r="W2381" s="659"/>
      <c r="X2381" s="660">
        <f t="shared" si="113"/>
        <v>8.8431921596079803</v>
      </c>
      <c r="Y2381" s="661" t="str">
        <f t="shared" si="111"/>
        <v/>
      </c>
      <c r="Z2381" s="661" t="str">
        <f t="shared" si="112"/>
        <v/>
      </c>
    </row>
    <row r="2382" spans="1:26" s="128" customFormat="1" ht="25">
      <c r="A2382" s="655">
        <v>65650</v>
      </c>
      <c r="B2382" s="656" t="s">
        <v>33</v>
      </c>
      <c r="C2382" s="655" t="s">
        <v>2793</v>
      </c>
      <c r="D2382" s="656" t="s">
        <v>3607</v>
      </c>
      <c r="E2382" s="656" t="s">
        <v>3608</v>
      </c>
      <c r="F2382" s="655">
        <v>64889</v>
      </c>
      <c r="G2382" s="656" t="s">
        <v>81</v>
      </c>
      <c r="H2382" s="656" t="s">
        <v>1183</v>
      </c>
      <c r="I2382" s="656" t="s">
        <v>1176</v>
      </c>
      <c r="J2382" s="655">
        <v>22</v>
      </c>
      <c r="K2382" s="655">
        <v>2</v>
      </c>
      <c r="L2382" s="656" t="s">
        <v>52</v>
      </c>
      <c r="M2382" s="656" t="s">
        <v>1890</v>
      </c>
      <c r="N2382" s="656" t="s">
        <v>1052</v>
      </c>
      <c r="O2382" s="656" t="s">
        <v>82</v>
      </c>
      <c r="P2382" s="656" t="s">
        <v>2794</v>
      </c>
      <c r="Q2382" s="657">
        <v>0</v>
      </c>
      <c r="R2382" s="657">
        <v>0</v>
      </c>
      <c r="S2382" s="657">
        <v>0</v>
      </c>
      <c r="T2382" s="657">
        <v>0</v>
      </c>
      <c r="U2382" s="657">
        <v>0</v>
      </c>
      <c r="V2382" s="655">
        <v>2021</v>
      </c>
      <c r="W2382" s="659"/>
      <c r="X2382" s="660" t="str">
        <f t="shared" si="113"/>
        <v/>
      </c>
      <c r="Y2382" s="661" t="str">
        <f t="shared" si="111"/>
        <v/>
      </c>
      <c r="Z2382" s="661" t="str">
        <f t="shared" si="112"/>
        <v/>
      </c>
    </row>
    <row r="2383" spans="1:26" s="128" customFormat="1" ht="25">
      <c r="A2383" s="655">
        <v>65650</v>
      </c>
      <c r="B2383" s="656" t="s">
        <v>33</v>
      </c>
      <c r="C2383" s="655" t="s">
        <v>2793</v>
      </c>
      <c r="D2383" s="656" t="s">
        <v>3607</v>
      </c>
      <c r="E2383" s="656" t="s">
        <v>3608</v>
      </c>
      <c r="F2383" s="655">
        <v>64889</v>
      </c>
      <c r="G2383" s="656" t="s">
        <v>81</v>
      </c>
      <c r="H2383" s="656" t="s">
        <v>1183</v>
      </c>
      <c r="I2383" s="656" t="s">
        <v>1176</v>
      </c>
      <c r="J2383" s="655">
        <v>22</v>
      </c>
      <c r="K2383" s="655">
        <v>2</v>
      </c>
      <c r="L2383" s="656" t="s">
        <v>52</v>
      </c>
      <c r="M2383" s="656" t="s">
        <v>448</v>
      </c>
      <c r="N2383" s="656" t="s">
        <v>449</v>
      </c>
      <c r="O2383" s="656" t="s">
        <v>449</v>
      </c>
      <c r="P2383" s="656" t="s">
        <v>1176</v>
      </c>
      <c r="Q2383" s="657">
        <v>0</v>
      </c>
      <c r="R2383" s="657">
        <v>0</v>
      </c>
      <c r="S2383" s="657">
        <v>15219</v>
      </c>
      <c r="T2383" s="657">
        <v>15219</v>
      </c>
      <c r="U2383" s="657">
        <v>1721</v>
      </c>
      <c r="V2383" s="655">
        <v>2021</v>
      </c>
      <c r="W2383" s="659"/>
      <c r="X2383" s="660">
        <f t="shared" si="113"/>
        <v>8.8431144683323648</v>
      </c>
      <c r="Y2383" s="661" t="str">
        <f t="shared" si="111"/>
        <v/>
      </c>
      <c r="Z2383" s="661" t="str">
        <f t="shared" si="112"/>
        <v/>
      </c>
    </row>
    <row r="2384" spans="1:26" s="128" customFormat="1">
      <c r="A2384" s="655">
        <v>65653</v>
      </c>
      <c r="B2384" s="656" t="s">
        <v>33</v>
      </c>
      <c r="C2384" s="655" t="s">
        <v>2793</v>
      </c>
      <c r="D2384" s="656" t="s">
        <v>3609</v>
      </c>
      <c r="E2384" s="656" t="s">
        <v>3610</v>
      </c>
      <c r="F2384" s="655">
        <v>63432</v>
      </c>
      <c r="G2384" s="656" t="s">
        <v>81</v>
      </c>
      <c r="H2384" s="656" t="s">
        <v>1183</v>
      </c>
      <c r="I2384" s="656" t="s">
        <v>1176</v>
      </c>
      <c r="J2384" s="655">
        <v>22</v>
      </c>
      <c r="K2384" s="655">
        <v>2</v>
      </c>
      <c r="L2384" s="656" t="s">
        <v>52</v>
      </c>
      <c r="M2384" s="656" t="s">
        <v>448</v>
      </c>
      <c r="N2384" s="656" t="s">
        <v>449</v>
      </c>
      <c r="O2384" s="656" t="s">
        <v>449</v>
      </c>
      <c r="P2384" s="656" t="s">
        <v>1176</v>
      </c>
      <c r="Q2384" s="657">
        <v>0</v>
      </c>
      <c r="R2384" s="657">
        <v>0</v>
      </c>
      <c r="S2384" s="657">
        <v>35771</v>
      </c>
      <c r="T2384" s="657">
        <v>35771</v>
      </c>
      <c r="U2384" s="657">
        <v>4045</v>
      </c>
      <c r="V2384" s="655">
        <v>2021</v>
      </c>
      <c r="W2384" s="659"/>
      <c r="X2384" s="660">
        <f t="shared" si="113"/>
        <v>8.8432632880098883</v>
      </c>
      <c r="Y2384" s="661" t="str">
        <f t="shared" si="111"/>
        <v/>
      </c>
      <c r="Z2384" s="661" t="str">
        <f t="shared" si="112"/>
        <v/>
      </c>
    </row>
    <row r="2385" spans="1:26" s="128" customFormat="1" hidden="1">
      <c r="A2385" s="655">
        <v>65667</v>
      </c>
      <c r="B2385" s="656" t="s">
        <v>33</v>
      </c>
      <c r="C2385" s="655" t="s">
        <v>2793</v>
      </c>
      <c r="D2385" s="656" t="s">
        <v>3611</v>
      </c>
      <c r="E2385" s="656" t="s">
        <v>3543</v>
      </c>
      <c r="F2385" s="655">
        <v>64426</v>
      </c>
      <c r="G2385" s="656" t="s">
        <v>41</v>
      </c>
      <c r="H2385" s="656" t="s">
        <v>1183</v>
      </c>
      <c r="I2385" s="656" t="s">
        <v>1176</v>
      </c>
      <c r="J2385" s="655">
        <v>22</v>
      </c>
      <c r="K2385" s="655">
        <v>2</v>
      </c>
      <c r="L2385" s="656" t="s">
        <v>52</v>
      </c>
      <c r="M2385" s="656" t="s">
        <v>448</v>
      </c>
      <c r="N2385" s="656" t="s">
        <v>449</v>
      </c>
      <c r="O2385" s="656" t="s">
        <v>449</v>
      </c>
      <c r="P2385" s="656" t="s">
        <v>1176</v>
      </c>
      <c r="Q2385" s="657">
        <v>0</v>
      </c>
      <c r="R2385" s="657">
        <v>0</v>
      </c>
      <c r="S2385" s="657">
        <v>0</v>
      </c>
      <c r="T2385" s="657">
        <v>0</v>
      </c>
      <c r="U2385" s="657">
        <v>0</v>
      </c>
      <c r="V2385" s="655">
        <v>2021</v>
      </c>
      <c r="W2385" s="659"/>
      <c r="X2385" s="660" t="str">
        <f t="shared" si="113"/>
        <v/>
      </c>
      <c r="Y2385" s="661" t="str">
        <f t="shared" si="111"/>
        <v/>
      </c>
      <c r="Z2385" s="661" t="str">
        <f t="shared" si="112"/>
        <v/>
      </c>
    </row>
    <row r="2386" spans="1:26" s="128" customFormat="1" hidden="1">
      <c r="A2386" s="655">
        <v>65668</v>
      </c>
      <c r="B2386" s="656" t="s">
        <v>33</v>
      </c>
      <c r="C2386" s="655" t="s">
        <v>2793</v>
      </c>
      <c r="D2386" s="656" t="s">
        <v>3612</v>
      </c>
      <c r="E2386" s="656" t="s">
        <v>3543</v>
      </c>
      <c r="F2386" s="655">
        <v>64426</v>
      </c>
      <c r="G2386" s="656" t="s">
        <v>41</v>
      </c>
      <c r="H2386" s="656" t="s">
        <v>1183</v>
      </c>
      <c r="I2386" s="656" t="s">
        <v>1176</v>
      </c>
      <c r="J2386" s="655">
        <v>22</v>
      </c>
      <c r="K2386" s="655">
        <v>2</v>
      </c>
      <c r="L2386" s="656" t="s">
        <v>52</v>
      </c>
      <c r="M2386" s="656" t="s">
        <v>448</v>
      </c>
      <c r="N2386" s="656" t="s">
        <v>449</v>
      </c>
      <c r="O2386" s="656" t="s">
        <v>449</v>
      </c>
      <c r="P2386" s="656" t="s">
        <v>1176</v>
      </c>
      <c r="Q2386" s="657">
        <v>0</v>
      </c>
      <c r="R2386" s="657">
        <v>0</v>
      </c>
      <c r="S2386" s="657">
        <v>0</v>
      </c>
      <c r="T2386" s="657">
        <v>0</v>
      </c>
      <c r="U2386" s="657">
        <v>0</v>
      </c>
      <c r="V2386" s="655">
        <v>2021</v>
      </c>
      <c r="W2386" s="659"/>
      <c r="X2386" s="660" t="str">
        <f t="shared" si="113"/>
        <v/>
      </c>
      <c r="Y2386" s="661" t="str">
        <f t="shared" si="111"/>
        <v/>
      </c>
      <c r="Z2386" s="661" t="str">
        <f t="shared" si="112"/>
        <v/>
      </c>
    </row>
    <row r="2387" spans="1:26" s="128" customFormat="1">
      <c r="A2387" s="655">
        <v>65716</v>
      </c>
      <c r="B2387" s="656" t="s">
        <v>33</v>
      </c>
      <c r="C2387" s="655" t="s">
        <v>2793</v>
      </c>
      <c r="D2387" s="656" t="s">
        <v>3613</v>
      </c>
      <c r="E2387" s="656" t="s">
        <v>3614</v>
      </c>
      <c r="F2387" s="655">
        <v>64980</v>
      </c>
      <c r="G2387" s="656" t="s">
        <v>81</v>
      </c>
      <c r="H2387" s="656" t="s">
        <v>1183</v>
      </c>
      <c r="I2387" s="656" t="s">
        <v>1176</v>
      </c>
      <c r="J2387" s="655">
        <v>22</v>
      </c>
      <c r="K2387" s="655">
        <v>2</v>
      </c>
      <c r="L2387" s="656" t="s">
        <v>52</v>
      </c>
      <c r="M2387" s="656" t="s">
        <v>448</v>
      </c>
      <c r="N2387" s="656" t="s">
        <v>449</v>
      </c>
      <c r="O2387" s="656" t="s">
        <v>449</v>
      </c>
      <c r="P2387" s="656" t="s">
        <v>1176</v>
      </c>
      <c r="Q2387" s="657">
        <v>0</v>
      </c>
      <c r="R2387" s="657">
        <v>0</v>
      </c>
      <c r="S2387" s="657">
        <v>30489</v>
      </c>
      <c r="T2387" s="657">
        <v>30489</v>
      </c>
      <c r="U2387" s="657">
        <v>3448</v>
      </c>
      <c r="V2387" s="655">
        <v>2021</v>
      </c>
      <c r="W2387" s="659"/>
      <c r="X2387" s="660">
        <f t="shared" si="113"/>
        <v>8.8425174013921115</v>
      </c>
      <c r="Y2387" s="661" t="str">
        <f t="shared" si="111"/>
        <v/>
      </c>
      <c r="Z2387" s="661" t="str">
        <f t="shared" si="112"/>
        <v/>
      </c>
    </row>
    <row r="2388" spans="1:26" s="128" customFormat="1">
      <c r="A2388" s="655">
        <v>65717</v>
      </c>
      <c r="B2388" s="656" t="s">
        <v>33</v>
      </c>
      <c r="C2388" s="655" t="s">
        <v>2793</v>
      </c>
      <c r="D2388" s="656" t="s">
        <v>3615</v>
      </c>
      <c r="E2388" s="656" t="s">
        <v>3616</v>
      </c>
      <c r="F2388" s="655">
        <v>64981</v>
      </c>
      <c r="G2388" s="656" t="s">
        <v>81</v>
      </c>
      <c r="H2388" s="656" t="s">
        <v>1183</v>
      </c>
      <c r="I2388" s="656" t="s">
        <v>1176</v>
      </c>
      <c r="J2388" s="655">
        <v>22</v>
      </c>
      <c r="K2388" s="655">
        <v>2</v>
      </c>
      <c r="L2388" s="656" t="s">
        <v>52</v>
      </c>
      <c r="M2388" s="656" t="s">
        <v>448</v>
      </c>
      <c r="N2388" s="656" t="s">
        <v>449</v>
      </c>
      <c r="O2388" s="656" t="s">
        <v>449</v>
      </c>
      <c r="P2388" s="656" t="s">
        <v>1176</v>
      </c>
      <c r="Q2388" s="657">
        <v>0</v>
      </c>
      <c r="R2388" s="657">
        <v>0</v>
      </c>
      <c r="S2388" s="657">
        <v>57569</v>
      </c>
      <c r="T2388" s="657">
        <v>57569</v>
      </c>
      <c r="U2388" s="657">
        <v>6510</v>
      </c>
      <c r="V2388" s="655">
        <v>2021</v>
      </c>
      <c r="W2388" s="659"/>
      <c r="X2388" s="660">
        <f t="shared" si="113"/>
        <v>8.843164362519202</v>
      </c>
      <c r="Y2388" s="661" t="str">
        <f t="shared" si="111"/>
        <v/>
      </c>
      <c r="Z2388" s="661" t="str">
        <f t="shared" si="112"/>
        <v/>
      </c>
    </row>
    <row r="2389" spans="1:26" s="128" customFormat="1">
      <c r="A2389" s="655">
        <v>65719</v>
      </c>
      <c r="B2389" s="656" t="s">
        <v>33</v>
      </c>
      <c r="C2389" s="655" t="s">
        <v>2793</v>
      </c>
      <c r="D2389" s="656" t="s">
        <v>3617</v>
      </c>
      <c r="E2389" s="656" t="s">
        <v>3618</v>
      </c>
      <c r="F2389" s="655">
        <v>64982</v>
      </c>
      <c r="G2389" s="656" t="s">
        <v>81</v>
      </c>
      <c r="H2389" s="656" t="s">
        <v>1183</v>
      </c>
      <c r="I2389" s="656" t="s">
        <v>1176</v>
      </c>
      <c r="J2389" s="655">
        <v>22</v>
      </c>
      <c r="K2389" s="655">
        <v>2</v>
      </c>
      <c r="L2389" s="656" t="s">
        <v>52</v>
      </c>
      <c r="M2389" s="656" t="s">
        <v>448</v>
      </c>
      <c r="N2389" s="656" t="s">
        <v>449</v>
      </c>
      <c r="O2389" s="656" t="s">
        <v>449</v>
      </c>
      <c r="P2389" s="656" t="s">
        <v>1176</v>
      </c>
      <c r="Q2389" s="657">
        <v>0</v>
      </c>
      <c r="R2389" s="657">
        <v>0</v>
      </c>
      <c r="S2389" s="657">
        <v>19833</v>
      </c>
      <c r="T2389" s="657">
        <v>19833</v>
      </c>
      <c r="U2389" s="657">
        <v>2243</v>
      </c>
      <c r="V2389" s="655">
        <v>2021</v>
      </c>
      <c r="W2389" s="659"/>
      <c r="X2389" s="660">
        <f t="shared" si="113"/>
        <v>8.8421756576014268</v>
      </c>
      <c r="Y2389" s="661" t="str">
        <f t="shared" si="111"/>
        <v/>
      </c>
      <c r="Z2389" s="661" t="str">
        <f t="shared" si="112"/>
        <v/>
      </c>
    </row>
    <row r="2390" spans="1:26" s="128" customFormat="1" ht="25">
      <c r="A2390" s="655">
        <v>65720</v>
      </c>
      <c r="B2390" s="656" t="s">
        <v>33</v>
      </c>
      <c r="C2390" s="655" t="s">
        <v>2793</v>
      </c>
      <c r="D2390" s="656" t="s">
        <v>3619</v>
      </c>
      <c r="E2390" s="656" t="s">
        <v>3620</v>
      </c>
      <c r="F2390" s="655">
        <v>64984</v>
      </c>
      <c r="G2390" s="656" t="s">
        <v>81</v>
      </c>
      <c r="H2390" s="656" t="s">
        <v>1183</v>
      </c>
      <c r="I2390" s="656" t="s">
        <v>1176</v>
      </c>
      <c r="J2390" s="655">
        <v>22</v>
      </c>
      <c r="K2390" s="655">
        <v>2</v>
      </c>
      <c r="L2390" s="656" t="s">
        <v>52</v>
      </c>
      <c r="M2390" s="656" t="s">
        <v>448</v>
      </c>
      <c r="N2390" s="656" t="s">
        <v>449</v>
      </c>
      <c r="O2390" s="656" t="s">
        <v>449</v>
      </c>
      <c r="P2390" s="656" t="s">
        <v>1176</v>
      </c>
      <c r="Q2390" s="657">
        <v>0</v>
      </c>
      <c r="R2390" s="657">
        <v>0</v>
      </c>
      <c r="S2390" s="657">
        <v>72088</v>
      </c>
      <c r="T2390" s="657">
        <v>72088</v>
      </c>
      <c r="U2390" s="657">
        <v>8152</v>
      </c>
      <c r="V2390" s="655">
        <v>2021</v>
      </c>
      <c r="W2390" s="659"/>
      <c r="X2390" s="660">
        <f t="shared" si="113"/>
        <v>8.8429833169774295</v>
      </c>
      <c r="Y2390" s="661" t="str">
        <f t="shared" si="111"/>
        <v/>
      </c>
      <c r="Z2390" s="661" t="str">
        <f t="shared" si="112"/>
        <v/>
      </c>
    </row>
    <row r="2391" spans="1:26" s="128" customFormat="1" ht="25" hidden="1">
      <c r="A2391" s="655">
        <v>65721</v>
      </c>
      <c r="B2391" s="656" t="s">
        <v>33</v>
      </c>
      <c r="C2391" s="655" t="s">
        <v>2793</v>
      </c>
      <c r="D2391" s="656" t="s">
        <v>3621</v>
      </c>
      <c r="E2391" s="656" t="s">
        <v>3622</v>
      </c>
      <c r="F2391" s="655">
        <v>64985</v>
      </c>
      <c r="G2391" s="656" t="s">
        <v>57</v>
      </c>
      <c r="H2391" s="656" t="s">
        <v>1182</v>
      </c>
      <c r="I2391" s="656" t="s">
        <v>1176</v>
      </c>
      <c r="J2391" s="655">
        <v>22</v>
      </c>
      <c r="K2391" s="655">
        <v>2</v>
      </c>
      <c r="L2391" s="656" t="s">
        <v>52</v>
      </c>
      <c r="M2391" s="656" t="s">
        <v>448</v>
      </c>
      <c r="N2391" s="656" t="s">
        <v>449</v>
      </c>
      <c r="O2391" s="656" t="s">
        <v>449</v>
      </c>
      <c r="P2391" s="656" t="s">
        <v>1176</v>
      </c>
      <c r="Q2391" s="657">
        <v>0</v>
      </c>
      <c r="R2391" s="657">
        <v>0</v>
      </c>
      <c r="S2391" s="657">
        <v>66553</v>
      </c>
      <c r="T2391" s="657">
        <v>66553</v>
      </c>
      <c r="U2391" s="657">
        <v>7526</v>
      </c>
      <c r="V2391" s="655">
        <v>2021</v>
      </c>
      <c r="W2391" s="659"/>
      <c r="X2391" s="660">
        <f t="shared" si="113"/>
        <v>8.8430773319160245</v>
      </c>
      <c r="Y2391" s="661" t="str">
        <f t="shared" si="111"/>
        <v/>
      </c>
      <c r="Z2391" s="661" t="str">
        <f t="shared" si="112"/>
        <v/>
      </c>
    </row>
    <row r="2392" spans="1:26" s="128" customFormat="1">
      <c r="A2392" s="655">
        <v>65722</v>
      </c>
      <c r="B2392" s="656" t="s">
        <v>33</v>
      </c>
      <c r="C2392" s="655" t="s">
        <v>2793</v>
      </c>
      <c r="D2392" s="656" t="s">
        <v>3623</v>
      </c>
      <c r="E2392" s="656" t="s">
        <v>3624</v>
      </c>
      <c r="F2392" s="655">
        <v>64882</v>
      </c>
      <c r="G2392" s="656" t="s">
        <v>81</v>
      </c>
      <c r="H2392" s="656" t="s">
        <v>1183</v>
      </c>
      <c r="I2392" s="656" t="s">
        <v>1176</v>
      </c>
      <c r="J2392" s="655">
        <v>22</v>
      </c>
      <c r="K2392" s="655">
        <v>2</v>
      </c>
      <c r="L2392" s="656" t="s">
        <v>52</v>
      </c>
      <c r="M2392" s="656" t="s">
        <v>448</v>
      </c>
      <c r="N2392" s="656" t="s">
        <v>449</v>
      </c>
      <c r="O2392" s="656" t="s">
        <v>449</v>
      </c>
      <c r="P2392" s="656" t="s">
        <v>1176</v>
      </c>
      <c r="Q2392" s="657">
        <v>0</v>
      </c>
      <c r="R2392" s="657">
        <v>0</v>
      </c>
      <c r="S2392" s="657">
        <v>10990</v>
      </c>
      <c r="T2392" s="657">
        <v>10990</v>
      </c>
      <c r="U2392" s="657">
        <v>1243</v>
      </c>
      <c r="V2392" s="655">
        <v>2021</v>
      </c>
      <c r="W2392" s="659"/>
      <c r="X2392" s="660">
        <f t="shared" si="113"/>
        <v>8.8415124698310539</v>
      </c>
      <c r="Y2392" s="661" t="str">
        <f t="shared" si="111"/>
        <v/>
      </c>
      <c r="Z2392" s="661" t="str">
        <f t="shared" si="112"/>
        <v/>
      </c>
    </row>
    <row r="2393" spans="1:26" s="128" customFormat="1" hidden="1">
      <c r="A2393" s="655">
        <v>65723</v>
      </c>
      <c r="B2393" s="656" t="s">
        <v>33</v>
      </c>
      <c r="C2393" s="655" t="s">
        <v>2793</v>
      </c>
      <c r="D2393" s="656" t="s">
        <v>3625</v>
      </c>
      <c r="E2393" s="656" t="s">
        <v>3626</v>
      </c>
      <c r="F2393" s="655">
        <v>64986</v>
      </c>
      <c r="G2393" s="656" t="s">
        <v>57</v>
      </c>
      <c r="H2393" s="656" t="s">
        <v>1182</v>
      </c>
      <c r="I2393" s="656" t="s">
        <v>1176</v>
      </c>
      <c r="J2393" s="655">
        <v>22</v>
      </c>
      <c r="K2393" s="655">
        <v>2</v>
      </c>
      <c r="L2393" s="656" t="s">
        <v>52</v>
      </c>
      <c r="M2393" s="656" t="s">
        <v>448</v>
      </c>
      <c r="N2393" s="656" t="s">
        <v>449</v>
      </c>
      <c r="O2393" s="656" t="s">
        <v>449</v>
      </c>
      <c r="P2393" s="656" t="s">
        <v>1176</v>
      </c>
      <c r="Q2393" s="657">
        <v>0</v>
      </c>
      <c r="R2393" s="657">
        <v>0</v>
      </c>
      <c r="S2393" s="657">
        <v>74290</v>
      </c>
      <c r="T2393" s="657">
        <v>74290</v>
      </c>
      <c r="U2393" s="657">
        <v>8401</v>
      </c>
      <c r="V2393" s="655">
        <v>2021</v>
      </c>
      <c r="W2393" s="659"/>
      <c r="X2393" s="660">
        <f t="shared" si="113"/>
        <v>8.8429948815617188</v>
      </c>
      <c r="Y2393" s="661" t="str">
        <f t="shared" si="111"/>
        <v/>
      </c>
      <c r="Z2393" s="661" t="str">
        <f t="shared" si="112"/>
        <v/>
      </c>
    </row>
    <row r="2394" spans="1:26" s="128" customFormat="1" hidden="1">
      <c r="A2394" s="655">
        <v>65724</v>
      </c>
      <c r="B2394" s="656" t="s">
        <v>33</v>
      </c>
      <c r="C2394" s="655" t="s">
        <v>2793</v>
      </c>
      <c r="D2394" s="656" t="s">
        <v>3627</v>
      </c>
      <c r="E2394" s="656" t="s">
        <v>3628</v>
      </c>
      <c r="F2394" s="655">
        <v>64987</v>
      </c>
      <c r="G2394" s="656" t="s">
        <v>57</v>
      </c>
      <c r="H2394" s="656" t="s">
        <v>1182</v>
      </c>
      <c r="I2394" s="656" t="s">
        <v>1176</v>
      </c>
      <c r="J2394" s="655">
        <v>22</v>
      </c>
      <c r="K2394" s="655">
        <v>2</v>
      </c>
      <c r="L2394" s="656" t="s">
        <v>52</v>
      </c>
      <c r="M2394" s="656" t="s">
        <v>448</v>
      </c>
      <c r="N2394" s="656" t="s">
        <v>449</v>
      </c>
      <c r="O2394" s="656" t="s">
        <v>449</v>
      </c>
      <c r="P2394" s="656" t="s">
        <v>1176</v>
      </c>
      <c r="Q2394" s="657">
        <v>0</v>
      </c>
      <c r="R2394" s="657">
        <v>0</v>
      </c>
      <c r="S2394" s="657">
        <v>52077</v>
      </c>
      <c r="T2394" s="657">
        <v>52077</v>
      </c>
      <c r="U2394" s="657">
        <v>5889</v>
      </c>
      <c r="V2394" s="655">
        <v>2021</v>
      </c>
      <c r="W2394" s="659"/>
      <c r="X2394" s="660">
        <f t="shared" si="113"/>
        <v>8.8430973000509425</v>
      </c>
      <c r="Y2394" s="661" t="str">
        <f t="shared" si="111"/>
        <v/>
      </c>
      <c r="Z2394" s="661" t="str">
        <f t="shared" si="112"/>
        <v/>
      </c>
    </row>
    <row r="2395" spans="1:26" s="128" customFormat="1">
      <c r="A2395" s="655">
        <v>65768</v>
      </c>
      <c r="B2395" s="656" t="s">
        <v>33</v>
      </c>
      <c r="C2395" s="655" t="s">
        <v>2793</v>
      </c>
      <c r="D2395" s="656" t="s">
        <v>3629</v>
      </c>
      <c r="E2395" s="656" t="s">
        <v>1162</v>
      </c>
      <c r="F2395" s="655">
        <v>17127</v>
      </c>
      <c r="G2395" s="656" t="s">
        <v>81</v>
      </c>
      <c r="H2395" s="656" t="s">
        <v>1183</v>
      </c>
      <c r="I2395" s="656" t="s">
        <v>1176</v>
      </c>
      <c r="J2395" s="655">
        <v>22</v>
      </c>
      <c r="K2395" s="655">
        <v>1</v>
      </c>
      <c r="L2395" s="656" t="s">
        <v>34</v>
      </c>
      <c r="M2395" s="656" t="s">
        <v>51</v>
      </c>
      <c r="N2395" s="656" t="s">
        <v>39</v>
      </c>
      <c r="O2395" s="656" t="s">
        <v>39</v>
      </c>
      <c r="P2395" s="656" t="s">
        <v>1037</v>
      </c>
      <c r="Q2395" s="657">
        <v>2218</v>
      </c>
      <c r="R2395" s="657">
        <v>2218</v>
      </c>
      <c r="S2395" s="657">
        <v>2289</v>
      </c>
      <c r="T2395" s="657">
        <v>2289</v>
      </c>
      <c r="U2395" s="657">
        <v>169</v>
      </c>
      <c r="V2395" s="655">
        <v>2021</v>
      </c>
      <c r="W2395" s="659"/>
      <c r="X2395" s="660">
        <f t="shared" si="113"/>
        <v>13.544378698224852</v>
      </c>
      <c r="Y2395" s="661" t="str">
        <f t="shared" si="111"/>
        <v/>
      </c>
      <c r="Z2395" s="661" t="str">
        <f t="shared" si="112"/>
        <v/>
      </c>
    </row>
    <row r="2396" spans="1:26" s="128" customFormat="1" ht="25" hidden="1">
      <c r="A2396" s="655">
        <v>99999</v>
      </c>
      <c r="B2396" s="656" t="s">
        <v>33</v>
      </c>
      <c r="C2396" s="655" t="s">
        <v>2793</v>
      </c>
      <c r="D2396" s="656" t="s">
        <v>1084</v>
      </c>
      <c r="E2396" s="656" t="s">
        <v>1084</v>
      </c>
      <c r="F2396" s="655">
        <v>99999</v>
      </c>
      <c r="G2396" s="656" t="s">
        <v>57</v>
      </c>
      <c r="H2396" s="656" t="s">
        <v>1182</v>
      </c>
      <c r="I2396" s="656" t="s">
        <v>1176</v>
      </c>
      <c r="J2396" s="655">
        <v>99999</v>
      </c>
      <c r="K2396" s="655">
        <v>4</v>
      </c>
      <c r="L2396" s="656" t="s">
        <v>412</v>
      </c>
      <c r="M2396" s="656" t="s">
        <v>1890</v>
      </c>
      <c r="N2396" s="656" t="s">
        <v>1052</v>
      </c>
      <c r="O2396" s="656" t="s">
        <v>82</v>
      </c>
      <c r="P2396" s="656" t="s">
        <v>2794</v>
      </c>
      <c r="Q2396" s="657">
        <v>0</v>
      </c>
      <c r="R2396" s="657">
        <v>0</v>
      </c>
      <c r="S2396" s="657">
        <v>0</v>
      </c>
      <c r="T2396" s="657">
        <v>0</v>
      </c>
      <c r="U2396" s="657">
        <v>0</v>
      </c>
      <c r="V2396" s="655">
        <v>2021</v>
      </c>
      <c r="W2396" s="659"/>
      <c r="X2396" s="660" t="str">
        <f t="shared" si="113"/>
        <v/>
      </c>
      <c r="Y2396" s="661" t="str">
        <f t="shared" si="111"/>
        <v/>
      </c>
      <c r="Z2396" s="661" t="str">
        <f t="shared" si="112"/>
        <v/>
      </c>
    </row>
    <row r="2397" spans="1:26" s="128" customFormat="1" ht="25" hidden="1">
      <c r="A2397" s="655">
        <v>99999</v>
      </c>
      <c r="B2397" s="656" t="s">
        <v>33</v>
      </c>
      <c r="C2397" s="655" t="s">
        <v>2793</v>
      </c>
      <c r="D2397" s="656" t="s">
        <v>1084</v>
      </c>
      <c r="E2397" s="656" t="s">
        <v>1084</v>
      </c>
      <c r="F2397" s="655">
        <v>99999</v>
      </c>
      <c r="G2397" s="656" t="s">
        <v>57</v>
      </c>
      <c r="H2397" s="656" t="s">
        <v>1182</v>
      </c>
      <c r="I2397" s="656" t="s">
        <v>1176</v>
      </c>
      <c r="J2397" s="655">
        <v>99999</v>
      </c>
      <c r="K2397" s="655">
        <v>2</v>
      </c>
      <c r="L2397" s="656" t="s">
        <v>52</v>
      </c>
      <c r="M2397" s="656" t="s">
        <v>1890</v>
      </c>
      <c r="N2397" s="656" t="s">
        <v>1052</v>
      </c>
      <c r="O2397" s="656" t="s">
        <v>82</v>
      </c>
      <c r="P2397" s="656" t="s">
        <v>2794</v>
      </c>
      <c r="Q2397" s="657">
        <v>0</v>
      </c>
      <c r="R2397" s="657">
        <v>0</v>
      </c>
      <c r="S2397" s="657">
        <v>0</v>
      </c>
      <c r="T2397" s="657">
        <v>0</v>
      </c>
      <c r="U2397" s="657">
        <v>0</v>
      </c>
      <c r="V2397" s="655">
        <v>2021</v>
      </c>
      <c r="W2397" s="659"/>
      <c r="X2397" s="660" t="str">
        <f t="shared" si="113"/>
        <v/>
      </c>
      <c r="Y2397" s="661" t="str">
        <f t="shared" si="111"/>
        <v/>
      </c>
      <c r="Z2397" s="661" t="str">
        <f t="shared" si="112"/>
        <v/>
      </c>
    </row>
    <row r="2398" spans="1:26" s="128" customFormat="1" ht="25" hidden="1">
      <c r="A2398" s="655">
        <v>99999</v>
      </c>
      <c r="B2398" s="656" t="s">
        <v>33</v>
      </c>
      <c r="C2398" s="655" t="s">
        <v>2793</v>
      </c>
      <c r="D2398" s="656" t="s">
        <v>1084</v>
      </c>
      <c r="E2398" s="656" t="s">
        <v>1084</v>
      </c>
      <c r="F2398" s="655">
        <v>99999</v>
      </c>
      <c r="G2398" s="656" t="s">
        <v>57</v>
      </c>
      <c r="H2398" s="656" t="s">
        <v>1182</v>
      </c>
      <c r="I2398" s="656" t="s">
        <v>1176</v>
      </c>
      <c r="J2398" s="655">
        <v>99999</v>
      </c>
      <c r="K2398" s="655">
        <v>1</v>
      </c>
      <c r="L2398" s="656" t="s">
        <v>34</v>
      </c>
      <c r="M2398" s="656" t="s">
        <v>1890</v>
      </c>
      <c r="N2398" s="656" t="s">
        <v>1052</v>
      </c>
      <c r="O2398" s="656" t="s">
        <v>82</v>
      </c>
      <c r="P2398" s="656" t="s">
        <v>2794</v>
      </c>
      <c r="Q2398" s="657">
        <v>0</v>
      </c>
      <c r="R2398" s="657">
        <v>0</v>
      </c>
      <c r="S2398" s="657">
        <v>0</v>
      </c>
      <c r="T2398" s="657">
        <v>0</v>
      </c>
      <c r="U2398" s="657">
        <v>0</v>
      </c>
      <c r="V2398" s="655">
        <v>2021</v>
      </c>
      <c r="W2398" s="659"/>
      <c r="X2398" s="660" t="str">
        <f t="shared" si="113"/>
        <v/>
      </c>
      <c r="Y2398" s="661" t="str">
        <f t="shared" si="111"/>
        <v/>
      </c>
      <c r="Z2398" s="661" t="str">
        <f t="shared" si="112"/>
        <v/>
      </c>
    </row>
    <row r="2399" spans="1:26" s="128" customFormat="1" ht="25" hidden="1">
      <c r="A2399" s="655">
        <v>99999</v>
      </c>
      <c r="B2399" s="656" t="s">
        <v>33</v>
      </c>
      <c r="C2399" s="655" t="s">
        <v>2793</v>
      </c>
      <c r="D2399" s="656" t="s">
        <v>1084</v>
      </c>
      <c r="E2399" s="656" t="s">
        <v>1084</v>
      </c>
      <c r="F2399" s="655">
        <v>99999</v>
      </c>
      <c r="G2399" s="656" t="s">
        <v>90</v>
      </c>
      <c r="H2399" s="656" t="s">
        <v>1183</v>
      </c>
      <c r="I2399" s="656" t="s">
        <v>1176</v>
      </c>
      <c r="J2399" s="655">
        <v>99999</v>
      </c>
      <c r="K2399" s="655">
        <v>2</v>
      </c>
      <c r="L2399" s="656" t="s">
        <v>52</v>
      </c>
      <c r="M2399" s="656" t="s">
        <v>1890</v>
      </c>
      <c r="N2399" s="656" t="s">
        <v>1052</v>
      </c>
      <c r="O2399" s="656" t="s">
        <v>82</v>
      </c>
      <c r="P2399" s="656" t="s">
        <v>2794</v>
      </c>
      <c r="Q2399" s="657">
        <v>0</v>
      </c>
      <c r="R2399" s="657">
        <v>0</v>
      </c>
      <c r="S2399" s="657">
        <v>0</v>
      </c>
      <c r="T2399" s="657">
        <v>0</v>
      </c>
      <c r="U2399" s="657">
        <v>0</v>
      </c>
      <c r="V2399" s="655">
        <v>2021</v>
      </c>
      <c r="W2399" s="659"/>
      <c r="X2399" s="660" t="str">
        <f t="shared" si="113"/>
        <v/>
      </c>
      <c r="Y2399" s="661" t="str">
        <f t="shared" si="111"/>
        <v/>
      </c>
      <c r="Z2399" s="661" t="str">
        <f t="shared" si="112"/>
        <v/>
      </c>
    </row>
    <row r="2400" spans="1:26" s="128" customFormat="1" hidden="1">
      <c r="A2400" s="655">
        <v>99999</v>
      </c>
      <c r="B2400" s="656" t="s">
        <v>54</v>
      </c>
      <c r="C2400" s="655" t="s">
        <v>2793</v>
      </c>
      <c r="D2400" s="656" t="s">
        <v>1084</v>
      </c>
      <c r="E2400" s="656" t="s">
        <v>1084</v>
      </c>
      <c r="F2400" s="655">
        <v>99999</v>
      </c>
      <c r="G2400" s="656" t="s">
        <v>57</v>
      </c>
      <c r="H2400" s="656" t="s">
        <v>1182</v>
      </c>
      <c r="I2400" s="656" t="s">
        <v>1176</v>
      </c>
      <c r="J2400" s="655">
        <v>99999</v>
      </c>
      <c r="K2400" s="655">
        <v>3</v>
      </c>
      <c r="L2400" s="656" t="s">
        <v>55</v>
      </c>
      <c r="M2400" s="656" t="s">
        <v>38</v>
      </c>
      <c r="N2400" s="656" t="s">
        <v>46</v>
      </c>
      <c r="O2400" s="656" t="s">
        <v>46</v>
      </c>
      <c r="P2400" s="656" t="s">
        <v>47</v>
      </c>
      <c r="Q2400" s="657">
        <v>0</v>
      </c>
      <c r="R2400" s="657">
        <v>0</v>
      </c>
      <c r="S2400" s="657">
        <v>0</v>
      </c>
      <c r="T2400" s="657">
        <v>0</v>
      </c>
      <c r="U2400" s="657">
        <v>0</v>
      </c>
      <c r="V2400" s="655">
        <v>2021</v>
      </c>
      <c r="W2400" s="659"/>
      <c r="X2400" s="660" t="str">
        <f t="shared" si="113"/>
        <v/>
      </c>
      <c r="Y2400" s="661" t="str">
        <f t="shared" si="111"/>
        <v/>
      </c>
      <c r="Z2400" s="661" t="str">
        <f t="shared" si="112"/>
        <v/>
      </c>
    </row>
    <row r="2401" spans="1:26" s="128" customFormat="1" ht="25" hidden="1">
      <c r="A2401" s="655">
        <v>99999</v>
      </c>
      <c r="B2401" s="656" t="s">
        <v>54</v>
      </c>
      <c r="C2401" s="655" t="s">
        <v>2793</v>
      </c>
      <c r="D2401" s="656" t="s">
        <v>1084</v>
      </c>
      <c r="E2401" s="656" t="s">
        <v>1084</v>
      </c>
      <c r="F2401" s="655">
        <v>99999</v>
      </c>
      <c r="G2401" s="656" t="s">
        <v>57</v>
      </c>
      <c r="H2401" s="656" t="s">
        <v>1182</v>
      </c>
      <c r="I2401" s="656" t="s">
        <v>1176</v>
      </c>
      <c r="J2401" s="655">
        <v>99999</v>
      </c>
      <c r="K2401" s="655">
        <v>5</v>
      </c>
      <c r="L2401" s="656" t="s">
        <v>413</v>
      </c>
      <c r="M2401" s="656" t="s">
        <v>38</v>
      </c>
      <c r="N2401" s="656" t="s">
        <v>39</v>
      </c>
      <c r="O2401" s="656" t="s">
        <v>39</v>
      </c>
      <c r="P2401" s="656" t="s">
        <v>1037</v>
      </c>
      <c r="Q2401" s="657">
        <v>0</v>
      </c>
      <c r="R2401" s="657">
        <v>0</v>
      </c>
      <c r="S2401" s="657">
        <v>0</v>
      </c>
      <c r="T2401" s="657">
        <v>0</v>
      </c>
      <c r="U2401" s="657">
        <v>0</v>
      </c>
      <c r="V2401" s="655">
        <v>2021</v>
      </c>
      <c r="W2401" s="659"/>
      <c r="X2401" s="660" t="str">
        <f t="shared" si="113"/>
        <v/>
      </c>
      <c r="Y2401" s="661" t="str">
        <f t="shared" si="111"/>
        <v/>
      </c>
      <c r="Z2401" s="661" t="str">
        <f t="shared" si="112"/>
        <v/>
      </c>
    </row>
    <row r="2402" spans="1:26" s="128" customFormat="1" hidden="1">
      <c r="A2402" s="655">
        <v>99999</v>
      </c>
      <c r="B2402" s="656" t="s">
        <v>54</v>
      </c>
      <c r="C2402" s="655" t="s">
        <v>2793</v>
      </c>
      <c r="D2402" s="656" t="s">
        <v>1084</v>
      </c>
      <c r="E2402" s="656" t="s">
        <v>1084</v>
      </c>
      <c r="F2402" s="655">
        <v>99999</v>
      </c>
      <c r="G2402" s="656" t="s">
        <v>57</v>
      </c>
      <c r="H2402" s="656" t="s">
        <v>1182</v>
      </c>
      <c r="I2402" s="656" t="s">
        <v>1176</v>
      </c>
      <c r="J2402" s="655">
        <v>99999</v>
      </c>
      <c r="K2402" s="655">
        <v>3</v>
      </c>
      <c r="L2402" s="656" t="s">
        <v>55</v>
      </c>
      <c r="M2402" s="656" t="s">
        <v>38</v>
      </c>
      <c r="N2402" s="656" t="s">
        <v>39</v>
      </c>
      <c r="O2402" s="656" t="s">
        <v>39</v>
      </c>
      <c r="P2402" s="656" t="s">
        <v>1037</v>
      </c>
      <c r="Q2402" s="657">
        <v>210568</v>
      </c>
      <c r="R2402" s="657">
        <v>145159</v>
      </c>
      <c r="S2402" s="657">
        <v>217085</v>
      </c>
      <c r="T2402" s="657">
        <v>149661</v>
      </c>
      <c r="U2402" s="657">
        <v>34212.546000000002</v>
      </c>
      <c r="V2402" s="655">
        <v>2021</v>
      </c>
      <c r="W2402" s="659"/>
      <c r="X2402" s="660">
        <f t="shared" si="113"/>
        <v>4.3744478999019831</v>
      </c>
      <c r="Y2402" s="661" t="str">
        <f t="shared" si="111"/>
        <v/>
      </c>
      <c r="Z2402" s="661" t="str">
        <f t="shared" si="112"/>
        <v/>
      </c>
    </row>
    <row r="2403" spans="1:26" s="128" customFormat="1" hidden="1">
      <c r="A2403" s="655">
        <v>99999</v>
      </c>
      <c r="B2403" s="656" t="s">
        <v>54</v>
      </c>
      <c r="C2403" s="655" t="s">
        <v>2793</v>
      </c>
      <c r="D2403" s="656" t="s">
        <v>1084</v>
      </c>
      <c r="E2403" s="656" t="s">
        <v>1084</v>
      </c>
      <c r="F2403" s="655">
        <v>99999</v>
      </c>
      <c r="G2403" s="656" t="s">
        <v>57</v>
      </c>
      <c r="H2403" s="656" t="s">
        <v>1182</v>
      </c>
      <c r="I2403" s="656" t="s">
        <v>1176</v>
      </c>
      <c r="J2403" s="655">
        <v>99999</v>
      </c>
      <c r="K2403" s="655">
        <v>3</v>
      </c>
      <c r="L2403" s="656" t="s">
        <v>55</v>
      </c>
      <c r="M2403" s="656" t="s">
        <v>41</v>
      </c>
      <c r="N2403" s="656" t="s">
        <v>46</v>
      </c>
      <c r="O2403" s="656" t="s">
        <v>46</v>
      </c>
      <c r="P2403" s="656" t="s">
        <v>47</v>
      </c>
      <c r="Q2403" s="657">
        <v>33</v>
      </c>
      <c r="R2403" s="657">
        <v>17</v>
      </c>
      <c r="S2403" s="657">
        <v>193</v>
      </c>
      <c r="T2403" s="657">
        <v>98</v>
      </c>
      <c r="U2403" s="657">
        <v>16.18</v>
      </c>
      <c r="V2403" s="655">
        <v>2021</v>
      </c>
      <c r="W2403" s="659"/>
      <c r="X2403" s="660">
        <f t="shared" si="113"/>
        <v>6.0568603213844252</v>
      </c>
      <c r="Y2403" s="661" t="str">
        <f t="shared" si="111"/>
        <v/>
      </c>
      <c r="Z2403" s="661" t="str">
        <f t="shared" si="112"/>
        <v/>
      </c>
    </row>
    <row r="2404" spans="1:26" s="128" customFormat="1" hidden="1">
      <c r="A2404" s="655">
        <v>99999</v>
      </c>
      <c r="B2404" s="656" t="s">
        <v>54</v>
      </c>
      <c r="C2404" s="655" t="s">
        <v>2793</v>
      </c>
      <c r="D2404" s="656" t="s">
        <v>1084</v>
      </c>
      <c r="E2404" s="656" t="s">
        <v>1084</v>
      </c>
      <c r="F2404" s="655">
        <v>99999</v>
      </c>
      <c r="G2404" s="656" t="s">
        <v>57</v>
      </c>
      <c r="H2404" s="656" t="s">
        <v>1182</v>
      </c>
      <c r="I2404" s="656" t="s">
        <v>1176</v>
      </c>
      <c r="J2404" s="655">
        <v>99999</v>
      </c>
      <c r="K2404" s="655">
        <v>3</v>
      </c>
      <c r="L2404" s="656" t="s">
        <v>55</v>
      </c>
      <c r="M2404" s="656" t="s">
        <v>41</v>
      </c>
      <c r="N2404" s="656" t="s">
        <v>39</v>
      </c>
      <c r="O2404" s="656" t="s">
        <v>39</v>
      </c>
      <c r="P2404" s="656" t="s">
        <v>1037</v>
      </c>
      <c r="Q2404" s="657">
        <v>2764992</v>
      </c>
      <c r="R2404" s="657">
        <v>1588715</v>
      </c>
      <c r="S2404" s="657">
        <v>2848088</v>
      </c>
      <c r="T2404" s="657">
        <v>1636686</v>
      </c>
      <c r="U2404" s="657">
        <v>234746.48</v>
      </c>
      <c r="V2404" s="655">
        <v>2021</v>
      </c>
      <c r="W2404" s="659"/>
      <c r="X2404" s="660">
        <f t="shared" si="113"/>
        <v>6.9721428836760406</v>
      </c>
      <c r="Y2404" s="661" t="str">
        <f t="shared" si="111"/>
        <v/>
      </c>
      <c r="Z2404" s="661" t="str">
        <f t="shared" si="112"/>
        <v/>
      </c>
    </row>
    <row r="2405" spans="1:26" s="128" customFormat="1" ht="25" hidden="1">
      <c r="A2405" s="655">
        <v>99999</v>
      </c>
      <c r="B2405" s="656" t="s">
        <v>54</v>
      </c>
      <c r="C2405" s="655" t="s">
        <v>2793</v>
      </c>
      <c r="D2405" s="656" t="s">
        <v>1084</v>
      </c>
      <c r="E2405" s="656" t="s">
        <v>1084</v>
      </c>
      <c r="F2405" s="655">
        <v>99999</v>
      </c>
      <c r="G2405" s="656" t="s">
        <v>57</v>
      </c>
      <c r="H2405" s="656" t="s">
        <v>1182</v>
      </c>
      <c r="I2405" s="656" t="s">
        <v>1176</v>
      </c>
      <c r="J2405" s="655">
        <v>99999</v>
      </c>
      <c r="K2405" s="655">
        <v>5</v>
      </c>
      <c r="L2405" s="656" t="s">
        <v>413</v>
      </c>
      <c r="M2405" s="656" t="s">
        <v>41</v>
      </c>
      <c r="N2405" s="656" t="s">
        <v>39</v>
      </c>
      <c r="O2405" s="656" t="s">
        <v>39</v>
      </c>
      <c r="P2405" s="656" t="s">
        <v>1037</v>
      </c>
      <c r="Q2405" s="657">
        <v>0</v>
      </c>
      <c r="R2405" s="657">
        <v>0</v>
      </c>
      <c r="S2405" s="657">
        <v>0</v>
      </c>
      <c r="T2405" s="657">
        <v>0</v>
      </c>
      <c r="U2405" s="657">
        <v>0</v>
      </c>
      <c r="V2405" s="655">
        <v>2021</v>
      </c>
      <c r="W2405" s="659"/>
      <c r="X2405" s="660" t="str">
        <f t="shared" si="113"/>
        <v/>
      </c>
      <c r="Y2405" s="661" t="str">
        <f t="shared" si="111"/>
        <v/>
      </c>
      <c r="Z2405" s="661" t="str">
        <f t="shared" si="112"/>
        <v/>
      </c>
    </row>
    <row r="2406" spans="1:26" s="128" customFormat="1" hidden="1">
      <c r="A2406" s="655">
        <v>99999</v>
      </c>
      <c r="B2406" s="656" t="s">
        <v>54</v>
      </c>
      <c r="C2406" s="655" t="s">
        <v>2793</v>
      </c>
      <c r="D2406" s="656" t="s">
        <v>1084</v>
      </c>
      <c r="E2406" s="656" t="s">
        <v>1084</v>
      </c>
      <c r="F2406" s="655">
        <v>99999</v>
      </c>
      <c r="G2406" s="656" t="s">
        <v>41</v>
      </c>
      <c r="H2406" s="656" t="s">
        <v>1183</v>
      </c>
      <c r="I2406" s="656" t="s">
        <v>1176</v>
      </c>
      <c r="J2406" s="655">
        <v>99999</v>
      </c>
      <c r="K2406" s="655">
        <v>7</v>
      </c>
      <c r="L2406" s="656" t="s">
        <v>409</v>
      </c>
      <c r="M2406" s="656" t="s">
        <v>1255</v>
      </c>
      <c r="N2406" s="656" t="s">
        <v>39</v>
      </c>
      <c r="O2406" s="656" t="s">
        <v>39</v>
      </c>
      <c r="P2406" s="656" t="s">
        <v>1037</v>
      </c>
      <c r="Q2406" s="657">
        <v>0</v>
      </c>
      <c r="R2406" s="657">
        <v>0</v>
      </c>
      <c r="S2406" s="657">
        <v>0</v>
      </c>
      <c r="T2406" s="657">
        <v>0</v>
      </c>
      <c r="U2406" s="657">
        <v>0</v>
      </c>
      <c r="V2406" s="655">
        <v>2021</v>
      </c>
      <c r="W2406" s="659"/>
      <c r="X2406" s="660" t="str">
        <f t="shared" si="113"/>
        <v/>
      </c>
      <c r="Y2406" s="661" t="str">
        <f t="shared" si="111"/>
        <v/>
      </c>
      <c r="Z2406" s="661" t="str">
        <f t="shared" si="112"/>
        <v/>
      </c>
    </row>
    <row r="2407" spans="1:26" s="128" customFormat="1" hidden="1">
      <c r="A2407" s="655">
        <v>99999</v>
      </c>
      <c r="B2407" s="656" t="s">
        <v>33</v>
      </c>
      <c r="C2407" s="655" t="s">
        <v>2793</v>
      </c>
      <c r="D2407" s="656" t="s">
        <v>1084</v>
      </c>
      <c r="E2407" s="656" t="s">
        <v>1084</v>
      </c>
      <c r="F2407" s="655">
        <v>99999</v>
      </c>
      <c r="G2407" s="656" t="s">
        <v>57</v>
      </c>
      <c r="H2407" s="656" t="s">
        <v>1182</v>
      </c>
      <c r="I2407" s="656" t="s">
        <v>1176</v>
      </c>
      <c r="J2407" s="655">
        <v>99999</v>
      </c>
      <c r="K2407" s="655">
        <v>2</v>
      </c>
      <c r="L2407" s="656" t="s">
        <v>52</v>
      </c>
      <c r="M2407" s="656" t="s">
        <v>50</v>
      </c>
      <c r="N2407" s="656" t="s">
        <v>39</v>
      </c>
      <c r="O2407" s="656" t="s">
        <v>39</v>
      </c>
      <c r="P2407" s="656" t="s">
        <v>1037</v>
      </c>
      <c r="Q2407" s="657">
        <v>30062</v>
      </c>
      <c r="R2407" s="657">
        <v>30062</v>
      </c>
      <c r="S2407" s="657">
        <v>30999</v>
      </c>
      <c r="T2407" s="657">
        <v>30999</v>
      </c>
      <c r="U2407" s="657">
        <v>2418.56</v>
      </c>
      <c r="V2407" s="655">
        <v>2021</v>
      </c>
      <c r="W2407" s="659"/>
      <c r="X2407" s="660">
        <f t="shared" si="113"/>
        <v>12.817130854723471</v>
      </c>
      <c r="Y2407" s="661" t="str">
        <f t="shared" si="111"/>
        <v/>
      </c>
      <c r="Z2407" s="661" t="str">
        <f t="shared" si="112"/>
        <v/>
      </c>
    </row>
    <row r="2408" spans="1:26" s="128" customFormat="1" hidden="1">
      <c r="A2408" s="655">
        <v>99999</v>
      </c>
      <c r="B2408" s="656" t="s">
        <v>33</v>
      </c>
      <c r="C2408" s="655" t="s">
        <v>2793</v>
      </c>
      <c r="D2408" s="656" t="s">
        <v>1084</v>
      </c>
      <c r="E2408" s="656" t="s">
        <v>1084</v>
      </c>
      <c r="F2408" s="655">
        <v>99999</v>
      </c>
      <c r="G2408" s="656" t="s">
        <v>57</v>
      </c>
      <c r="H2408" s="656" t="s">
        <v>1182</v>
      </c>
      <c r="I2408" s="656" t="s">
        <v>1176</v>
      </c>
      <c r="J2408" s="655">
        <v>99999</v>
      </c>
      <c r="K2408" s="655">
        <v>2</v>
      </c>
      <c r="L2408" s="656" t="s">
        <v>52</v>
      </c>
      <c r="M2408" s="656" t="s">
        <v>35</v>
      </c>
      <c r="N2408" s="656" t="s">
        <v>36</v>
      </c>
      <c r="O2408" s="656" t="s">
        <v>37</v>
      </c>
      <c r="P2408" s="656" t="s">
        <v>1176</v>
      </c>
      <c r="Q2408" s="657">
        <v>0</v>
      </c>
      <c r="R2408" s="657">
        <v>0</v>
      </c>
      <c r="S2408" s="657">
        <v>33290</v>
      </c>
      <c r="T2408" s="657">
        <v>33290</v>
      </c>
      <c r="U2408" s="657">
        <v>3764.5419999999999</v>
      </c>
      <c r="V2408" s="655">
        <v>2021</v>
      </c>
      <c r="W2408" s="659"/>
      <c r="X2408" s="660">
        <f t="shared" si="113"/>
        <v>8.8430411986371791</v>
      </c>
      <c r="Y2408" s="661" t="str">
        <f t="shared" si="111"/>
        <v/>
      </c>
      <c r="Z2408" s="661" t="str">
        <f t="shared" si="112"/>
        <v/>
      </c>
    </row>
    <row r="2409" spans="1:26" s="128" customFormat="1" ht="25" hidden="1">
      <c r="A2409" s="655">
        <v>99999</v>
      </c>
      <c r="B2409" s="656" t="s">
        <v>54</v>
      </c>
      <c r="C2409" s="655" t="s">
        <v>2793</v>
      </c>
      <c r="D2409" s="656" t="s">
        <v>1084</v>
      </c>
      <c r="E2409" s="656" t="s">
        <v>1084</v>
      </c>
      <c r="F2409" s="655">
        <v>99999</v>
      </c>
      <c r="G2409" s="656" t="s">
        <v>57</v>
      </c>
      <c r="H2409" s="656" t="s">
        <v>1182</v>
      </c>
      <c r="I2409" s="656" t="s">
        <v>1176</v>
      </c>
      <c r="J2409" s="655">
        <v>99999</v>
      </c>
      <c r="K2409" s="655">
        <v>5</v>
      </c>
      <c r="L2409" s="656" t="s">
        <v>413</v>
      </c>
      <c r="M2409" s="656" t="s">
        <v>51</v>
      </c>
      <c r="N2409" s="656" t="s">
        <v>46</v>
      </c>
      <c r="O2409" s="656" t="s">
        <v>46</v>
      </c>
      <c r="P2409" s="656" t="s">
        <v>47</v>
      </c>
      <c r="Q2409" s="657">
        <v>92</v>
      </c>
      <c r="R2409" s="657">
        <v>40</v>
      </c>
      <c r="S2409" s="657">
        <v>534</v>
      </c>
      <c r="T2409" s="657">
        <v>238</v>
      </c>
      <c r="U2409" s="657">
        <v>43.774999999999999</v>
      </c>
      <c r="V2409" s="655">
        <v>2021</v>
      </c>
      <c r="W2409" s="659"/>
      <c r="X2409" s="660" t="str">
        <f t="shared" si="113"/>
        <v/>
      </c>
      <c r="Y2409" s="661" t="str">
        <f t="shared" si="111"/>
        <v/>
      </c>
      <c r="Z2409" s="661" t="str">
        <f t="shared" si="112"/>
        <v/>
      </c>
    </row>
    <row r="2410" spans="1:26" s="128" customFormat="1" ht="25" hidden="1">
      <c r="A2410" s="655">
        <v>99999</v>
      </c>
      <c r="B2410" s="656" t="s">
        <v>54</v>
      </c>
      <c r="C2410" s="655" t="s">
        <v>2793</v>
      </c>
      <c r="D2410" s="656" t="s">
        <v>1084</v>
      </c>
      <c r="E2410" s="656" t="s">
        <v>1084</v>
      </c>
      <c r="F2410" s="655">
        <v>99999</v>
      </c>
      <c r="G2410" s="656" t="s">
        <v>96</v>
      </c>
      <c r="H2410" s="656" t="s">
        <v>1183</v>
      </c>
      <c r="I2410" s="656" t="s">
        <v>1176</v>
      </c>
      <c r="J2410" s="655">
        <v>99999</v>
      </c>
      <c r="K2410" s="655">
        <v>5</v>
      </c>
      <c r="L2410" s="656" t="s">
        <v>413</v>
      </c>
      <c r="M2410" s="656" t="s">
        <v>51</v>
      </c>
      <c r="N2410" s="656" t="s">
        <v>46</v>
      </c>
      <c r="O2410" s="656" t="s">
        <v>46</v>
      </c>
      <c r="P2410" s="656" t="s">
        <v>47</v>
      </c>
      <c r="Q2410" s="657">
        <v>64</v>
      </c>
      <c r="R2410" s="657">
        <v>19</v>
      </c>
      <c r="S2410" s="657">
        <v>369</v>
      </c>
      <c r="T2410" s="657">
        <v>104</v>
      </c>
      <c r="U2410" s="657">
        <v>23.971</v>
      </c>
      <c r="V2410" s="655">
        <v>2021</v>
      </c>
      <c r="W2410" s="659"/>
      <c r="X2410" s="660" t="str">
        <f t="shared" si="113"/>
        <v/>
      </c>
      <c r="Y2410" s="661" t="str">
        <f t="shared" si="111"/>
        <v/>
      </c>
      <c r="Z2410" s="661" t="str">
        <f t="shared" si="112"/>
        <v/>
      </c>
    </row>
    <row r="2411" spans="1:26" s="128" customFormat="1" ht="25" hidden="1">
      <c r="A2411" s="655">
        <v>99999</v>
      </c>
      <c r="B2411" s="656" t="s">
        <v>33</v>
      </c>
      <c r="C2411" s="655" t="s">
        <v>2793</v>
      </c>
      <c r="D2411" s="656" t="s">
        <v>1084</v>
      </c>
      <c r="E2411" s="656" t="s">
        <v>1084</v>
      </c>
      <c r="F2411" s="655">
        <v>99999</v>
      </c>
      <c r="G2411" s="656" t="s">
        <v>57</v>
      </c>
      <c r="H2411" s="656" t="s">
        <v>1182</v>
      </c>
      <c r="I2411" s="656" t="s">
        <v>1176</v>
      </c>
      <c r="J2411" s="655">
        <v>99999</v>
      </c>
      <c r="K2411" s="655">
        <v>4</v>
      </c>
      <c r="L2411" s="656" t="s">
        <v>412</v>
      </c>
      <c r="M2411" s="656" t="s">
        <v>51</v>
      </c>
      <c r="N2411" s="656" t="s">
        <v>46</v>
      </c>
      <c r="O2411" s="656" t="s">
        <v>46</v>
      </c>
      <c r="P2411" s="656" t="s">
        <v>47</v>
      </c>
      <c r="Q2411" s="657">
        <v>12</v>
      </c>
      <c r="R2411" s="657">
        <v>12</v>
      </c>
      <c r="S2411" s="657">
        <v>72</v>
      </c>
      <c r="T2411" s="657">
        <v>72</v>
      </c>
      <c r="U2411" s="657">
        <v>9.0350000000000001</v>
      </c>
      <c r="V2411" s="655">
        <v>2021</v>
      </c>
      <c r="W2411" s="659"/>
      <c r="X2411" s="660" t="str">
        <f t="shared" si="113"/>
        <v/>
      </c>
      <c r="Y2411" s="661" t="str">
        <f t="shared" si="111"/>
        <v/>
      </c>
      <c r="Z2411" s="661" t="str">
        <f t="shared" si="112"/>
        <v/>
      </c>
    </row>
    <row r="2412" spans="1:26" s="128" customFormat="1" hidden="1">
      <c r="A2412" s="655">
        <v>99999</v>
      </c>
      <c r="B2412" s="656" t="s">
        <v>54</v>
      </c>
      <c r="C2412" s="655" t="s">
        <v>2793</v>
      </c>
      <c r="D2412" s="656" t="s">
        <v>1084</v>
      </c>
      <c r="E2412" s="656" t="s">
        <v>1084</v>
      </c>
      <c r="F2412" s="655">
        <v>99999</v>
      </c>
      <c r="G2412" s="656" t="s">
        <v>57</v>
      </c>
      <c r="H2412" s="656" t="s">
        <v>1182</v>
      </c>
      <c r="I2412" s="656" t="s">
        <v>1176</v>
      </c>
      <c r="J2412" s="655">
        <v>99999</v>
      </c>
      <c r="K2412" s="655">
        <v>3</v>
      </c>
      <c r="L2412" s="656" t="s">
        <v>55</v>
      </c>
      <c r="M2412" s="656" t="s">
        <v>51</v>
      </c>
      <c r="N2412" s="656" t="s">
        <v>39</v>
      </c>
      <c r="O2412" s="656" t="s">
        <v>39</v>
      </c>
      <c r="P2412" s="656" t="s">
        <v>1037</v>
      </c>
      <c r="Q2412" s="657">
        <v>114797</v>
      </c>
      <c r="R2412" s="657">
        <v>74636</v>
      </c>
      <c r="S2412" s="657">
        <v>118387</v>
      </c>
      <c r="T2412" s="657">
        <v>76966</v>
      </c>
      <c r="U2412" s="657">
        <v>10168.825000000001</v>
      </c>
      <c r="V2412" s="655">
        <v>2021</v>
      </c>
      <c r="W2412" s="659"/>
      <c r="X2412" s="660">
        <f t="shared" si="113"/>
        <v>7.5688194063719259</v>
      </c>
      <c r="Y2412" s="661" t="str">
        <f t="shared" si="111"/>
        <v/>
      </c>
      <c r="Z2412" s="661" t="str">
        <f t="shared" si="112"/>
        <v/>
      </c>
    </row>
    <row r="2413" spans="1:26" s="128" customFormat="1" ht="25" hidden="1">
      <c r="A2413" s="655">
        <v>99999</v>
      </c>
      <c r="B2413" s="656" t="s">
        <v>33</v>
      </c>
      <c r="C2413" s="655" t="s">
        <v>2793</v>
      </c>
      <c r="D2413" s="656" t="s">
        <v>1084</v>
      </c>
      <c r="E2413" s="656" t="s">
        <v>1084</v>
      </c>
      <c r="F2413" s="655">
        <v>99999</v>
      </c>
      <c r="G2413" s="656" t="s">
        <v>57</v>
      </c>
      <c r="H2413" s="656" t="s">
        <v>1182</v>
      </c>
      <c r="I2413" s="656" t="s">
        <v>1176</v>
      </c>
      <c r="J2413" s="655">
        <v>99999</v>
      </c>
      <c r="K2413" s="655">
        <v>4</v>
      </c>
      <c r="L2413" s="656" t="s">
        <v>412</v>
      </c>
      <c r="M2413" s="656" t="s">
        <v>51</v>
      </c>
      <c r="N2413" s="656" t="s">
        <v>39</v>
      </c>
      <c r="O2413" s="656" t="s">
        <v>39</v>
      </c>
      <c r="P2413" s="656" t="s">
        <v>1037</v>
      </c>
      <c r="Q2413" s="657">
        <v>0</v>
      </c>
      <c r="R2413" s="657">
        <v>0</v>
      </c>
      <c r="S2413" s="657">
        <v>0</v>
      </c>
      <c r="T2413" s="657">
        <v>0</v>
      </c>
      <c r="U2413" s="657">
        <v>0</v>
      </c>
      <c r="V2413" s="655">
        <v>2021</v>
      </c>
      <c r="W2413" s="659"/>
      <c r="X2413" s="660" t="str">
        <f t="shared" si="113"/>
        <v/>
      </c>
      <c r="Y2413" s="661" t="str">
        <f t="shared" si="111"/>
        <v/>
      </c>
      <c r="Z2413" s="661" t="str">
        <f t="shared" si="112"/>
        <v/>
      </c>
    </row>
    <row r="2414" spans="1:26" s="128" customFormat="1" ht="25" hidden="1">
      <c r="A2414" s="655">
        <v>99999</v>
      </c>
      <c r="B2414" s="656" t="s">
        <v>54</v>
      </c>
      <c r="C2414" s="655" t="s">
        <v>2793</v>
      </c>
      <c r="D2414" s="656" t="s">
        <v>1084</v>
      </c>
      <c r="E2414" s="656" t="s">
        <v>1084</v>
      </c>
      <c r="F2414" s="655">
        <v>99999</v>
      </c>
      <c r="G2414" s="656" t="s">
        <v>57</v>
      </c>
      <c r="H2414" s="656" t="s">
        <v>1182</v>
      </c>
      <c r="I2414" s="656" t="s">
        <v>1176</v>
      </c>
      <c r="J2414" s="655">
        <v>99999</v>
      </c>
      <c r="K2414" s="655">
        <v>5</v>
      </c>
      <c r="L2414" s="656" t="s">
        <v>413</v>
      </c>
      <c r="M2414" s="656" t="s">
        <v>51</v>
      </c>
      <c r="N2414" s="656" t="s">
        <v>61</v>
      </c>
      <c r="O2414" s="656" t="s">
        <v>61</v>
      </c>
      <c r="P2414" s="656" t="s">
        <v>47</v>
      </c>
      <c r="Q2414" s="657">
        <v>0</v>
      </c>
      <c r="R2414" s="657">
        <v>0</v>
      </c>
      <c r="S2414" s="657">
        <v>0</v>
      </c>
      <c r="T2414" s="657">
        <v>0</v>
      </c>
      <c r="U2414" s="657">
        <v>0</v>
      </c>
      <c r="V2414" s="655">
        <v>2021</v>
      </c>
      <c r="W2414" s="659"/>
      <c r="X2414" s="660" t="str">
        <f t="shared" si="113"/>
        <v/>
      </c>
      <c r="Y2414" s="661" t="str">
        <f t="shared" si="111"/>
        <v/>
      </c>
      <c r="Z2414" s="661" t="str">
        <f t="shared" si="112"/>
        <v/>
      </c>
    </row>
    <row r="2415" spans="1:26" s="128" customFormat="1" hidden="1">
      <c r="A2415" s="655">
        <v>99999</v>
      </c>
      <c r="B2415" s="656" t="s">
        <v>33</v>
      </c>
      <c r="C2415" s="655" t="s">
        <v>2793</v>
      </c>
      <c r="D2415" s="656" t="s">
        <v>1084</v>
      </c>
      <c r="E2415" s="656" t="s">
        <v>1084</v>
      </c>
      <c r="F2415" s="655">
        <v>99999</v>
      </c>
      <c r="G2415" s="656" t="s">
        <v>131</v>
      </c>
      <c r="H2415" s="656" t="s">
        <v>1183</v>
      </c>
      <c r="I2415" s="656" t="s">
        <v>1176</v>
      </c>
      <c r="J2415" s="655">
        <v>99999</v>
      </c>
      <c r="K2415" s="655">
        <v>2</v>
      </c>
      <c r="L2415" s="656" t="s">
        <v>52</v>
      </c>
      <c r="M2415" s="656" t="s">
        <v>448</v>
      </c>
      <c r="N2415" s="656" t="s">
        <v>449</v>
      </c>
      <c r="O2415" s="656" t="s">
        <v>449</v>
      </c>
      <c r="P2415" s="656" t="s">
        <v>1176</v>
      </c>
      <c r="Q2415" s="657">
        <v>0</v>
      </c>
      <c r="R2415" s="657">
        <v>0</v>
      </c>
      <c r="S2415" s="657">
        <v>22455</v>
      </c>
      <c r="T2415" s="657">
        <v>22455</v>
      </c>
      <c r="U2415" s="657">
        <v>2539.3760000000002</v>
      </c>
      <c r="V2415" s="655">
        <v>2021</v>
      </c>
      <c r="W2415" s="659"/>
      <c r="X2415" s="660">
        <f t="shared" si="113"/>
        <v>8.8427235667345041</v>
      </c>
      <c r="Y2415" s="661" t="str">
        <f t="shared" si="111"/>
        <v/>
      </c>
      <c r="Z2415" s="661" t="str">
        <f t="shared" si="112"/>
        <v/>
      </c>
    </row>
    <row r="2416" spans="1:26" s="128" customFormat="1" hidden="1">
      <c r="A2416" s="655">
        <v>99999</v>
      </c>
      <c r="B2416" s="656" t="s">
        <v>33</v>
      </c>
      <c r="C2416" s="655" t="s">
        <v>2793</v>
      </c>
      <c r="D2416" s="656" t="s">
        <v>1084</v>
      </c>
      <c r="E2416" s="656" t="s">
        <v>1084</v>
      </c>
      <c r="F2416" s="655">
        <v>99999</v>
      </c>
      <c r="G2416" s="656" t="s">
        <v>57</v>
      </c>
      <c r="H2416" s="656" t="s">
        <v>1182</v>
      </c>
      <c r="I2416" s="656" t="s">
        <v>1176</v>
      </c>
      <c r="J2416" s="655">
        <v>99999</v>
      </c>
      <c r="K2416" s="655">
        <v>2</v>
      </c>
      <c r="L2416" s="656" t="s">
        <v>52</v>
      </c>
      <c r="M2416" s="656" t="s">
        <v>448</v>
      </c>
      <c r="N2416" s="656" t="s">
        <v>449</v>
      </c>
      <c r="O2416" s="656" t="s">
        <v>449</v>
      </c>
      <c r="P2416" s="656" t="s">
        <v>1176</v>
      </c>
      <c r="Q2416" s="657">
        <v>0</v>
      </c>
      <c r="R2416" s="657">
        <v>0</v>
      </c>
      <c r="S2416" s="657">
        <v>855325</v>
      </c>
      <c r="T2416" s="657">
        <v>855325</v>
      </c>
      <c r="U2416" s="657">
        <v>96723.028999999995</v>
      </c>
      <c r="V2416" s="655">
        <v>2021</v>
      </c>
      <c r="W2416" s="659"/>
      <c r="X2416" s="660">
        <f t="shared" si="113"/>
        <v>8.843033648170799</v>
      </c>
      <c r="Y2416" s="661" t="str">
        <f t="shared" si="111"/>
        <v/>
      </c>
      <c r="Z2416" s="661" t="str">
        <f t="shared" si="112"/>
        <v/>
      </c>
    </row>
    <row r="2417" spans="1:29" s="128" customFormat="1">
      <c r="A2417" s="655">
        <v>99999</v>
      </c>
      <c r="B2417" s="656" t="s">
        <v>33</v>
      </c>
      <c r="C2417" s="655" t="s">
        <v>2793</v>
      </c>
      <c r="D2417" s="656" t="s">
        <v>1084</v>
      </c>
      <c r="E2417" s="656" t="s">
        <v>1084</v>
      </c>
      <c r="F2417" s="655">
        <v>99999</v>
      </c>
      <c r="G2417" s="656" t="s">
        <v>81</v>
      </c>
      <c r="H2417" s="656" t="s">
        <v>1183</v>
      </c>
      <c r="I2417" s="656" t="s">
        <v>1176</v>
      </c>
      <c r="J2417" s="655">
        <v>99999</v>
      </c>
      <c r="K2417" s="655">
        <v>2</v>
      </c>
      <c r="L2417" s="656" t="s">
        <v>52</v>
      </c>
      <c r="M2417" s="656" t="s">
        <v>448</v>
      </c>
      <c r="N2417" s="656" t="s">
        <v>449</v>
      </c>
      <c r="O2417" s="656" t="s">
        <v>449</v>
      </c>
      <c r="P2417" s="656" t="s">
        <v>1176</v>
      </c>
      <c r="Q2417" s="657">
        <v>0</v>
      </c>
      <c r="R2417" s="657">
        <v>0</v>
      </c>
      <c r="S2417" s="657">
        <v>423853</v>
      </c>
      <c r="T2417" s="657">
        <v>423853</v>
      </c>
      <c r="U2417" s="657">
        <v>47930.89</v>
      </c>
      <c r="V2417" s="655">
        <v>2021</v>
      </c>
      <c r="W2417" s="659"/>
      <c r="X2417" s="660">
        <f t="shared" si="113"/>
        <v>8.8430029152390031</v>
      </c>
      <c r="Y2417" s="661" t="str">
        <f t="shared" si="111"/>
        <v/>
      </c>
      <c r="Z2417" s="661" t="str">
        <f t="shared" si="112"/>
        <v/>
      </c>
    </row>
    <row r="2418" spans="1:29" s="128" customFormat="1" hidden="1">
      <c r="A2418" s="655">
        <v>99999</v>
      </c>
      <c r="B2418" s="656" t="s">
        <v>54</v>
      </c>
      <c r="C2418" s="655" t="s">
        <v>2793</v>
      </c>
      <c r="D2418" s="656" t="s">
        <v>1084</v>
      </c>
      <c r="E2418" s="656" t="s">
        <v>1084</v>
      </c>
      <c r="F2418" s="655">
        <v>99999</v>
      </c>
      <c r="G2418" s="656" t="s">
        <v>41</v>
      </c>
      <c r="H2418" s="656" t="s">
        <v>1183</v>
      </c>
      <c r="I2418" s="656" t="s">
        <v>1176</v>
      </c>
      <c r="J2418" s="655">
        <v>99999</v>
      </c>
      <c r="K2418" s="655">
        <v>7</v>
      </c>
      <c r="L2418" s="656" t="s">
        <v>409</v>
      </c>
      <c r="M2418" s="656" t="s">
        <v>42</v>
      </c>
      <c r="N2418" s="656" t="s">
        <v>46</v>
      </c>
      <c r="O2418" s="656" t="s">
        <v>46</v>
      </c>
      <c r="P2418" s="656" t="s">
        <v>47</v>
      </c>
      <c r="Q2418" s="657">
        <v>0</v>
      </c>
      <c r="R2418" s="657">
        <v>0</v>
      </c>
      <c r="S2418" s="657">
        <v>0</v>
      </c>
      <c r="T2418" s="657">
        <v>0</v>
      </c>
      <c r="U2418" s="657">
        <v>0</v>
      </c>
      <c r="V2418" s="655">
        <v>2021</v>
      </c>
      <c r="W2418" s="659"/>
      <c r="X2418" s="660" t="str">
        <f t="shared" si="113"/>
        <v/>
      </c>
      <c r="Y2418" s="661" t="str">
        <f t="shared" si="111"/>
        <v/>
      </c>
      <c r="Z2418" s="661" t="str">
        <f t="shared" si="112"/>
        <v/>
      </c>
    </row>
    <row r="2419" spans="1:29" s="128" customFormat="1" ht="25" hidden="1">
      <c r="A2419" s="655">
        <v>99999</v>
      </c>
      <c r="B2419" s="656" t="s">
        <v>33</v>
      </c>
      <c r="C2419" s="655" t="s">
        <v>2793</v>
      </c>
      <c r="D2419" s="656" t="s">
        <v>1084</v>
      </c>
      <c r="E2419" s="656" t="s">
        <v>1084</v>
      </c>
      <c r="F2419" s="655">
        <v>99999</v>
      </c>
      <c r="G2419" s="656" t="s">
        <v>90</v>
      </c>
      <c r="H2419" s="656" t="s">
        <v>1183</v>
      </c>
      <c r="I2419" s="656" t="s">
        <v>1176</v>
      </c>
      <c r="J2419" s="655">
        <v>99999</v>
      </c>
      <c r="K2419" s="655">
        <v>4</v>
      </c>
      <c r="L2419" s="656" t="s">
        <v>412</v>
      </c>
      <c r="M2419" s="656" t="s">
        <v>42</v>
      </c>
      <c r="N2419" s="656" t="s">
        <v>46</v>
      </c>
      <c r="O2419" s="656" t="s">
        <v>46</v>
      </c>
      <c r="P2419" s="656" t="s">
        <v>47</v>
      </c>
      <c r="Q2419" s="657">
        <v>1060</v>
      </c>
      <c r="R2419" s="657">
        <v>1060</v>
      </c>
      <c r="S2419" s="657">
        <v>6201</v>
      </c>
      <c r="T2419" s="657">
        <v>6201</v>
      </c>
      <c r="U2419" s="657">
        <v>343.13200000000001</v>
      </c>
      <c r="V2419" s="655">
        <v>2021</v>
      </c>
      <c r="W2419" s="659"/>
      <c r="X2419" s="660" t="str">
        <f t="shared" si="113"/>
        <v/>
      </c>
      <c r="Y2419" s="661" t="str">
        <f t="shared" si="111"/>
        <v/>
      </c>
      <c r="Z2419" s="661" t="str">
        <f t="shared" si="112"/>
        <v/>
      </c>
    </row>
    <row r="2420" spans="1:29" s="128" customFormat="1" ht="25" hidden="1">
      <c r="A2420" s="655">
        <v>99999</v>
      </c>
      <c r="B2420" s="656" t="s">
        <v>33</v>
      </c>
      <c r="C2420" s="655" t="s">
        <v>2793</v>
      </c>
      <c r="D2420" s="656" t="s">
        <v>1084</v>
      </c>
      <c r="E2420" s="656" t="s">
        <v>1084</v>
      </c>
      <c r="F2420" s="655">
        <v>99999</v>
      </c>
      <c r="G2420" s="656" t="s">
        <v>90</v>
      </c>
      <c r="H2420" s="656" t="s">
        <v>1183</v>
      </c>
      <c r="I2420" s="656" t="s">
        <v>1176</v>
      </c>
      <c r="J2420" s="655">
        <v>99999</v>
      </c>
      <c r="K2420" s="655">
        <v>4</v>
      </c>
      <c r="L2420" s="656" t="s">
        <v>412</v>
      </c>
      <c r="M2420" s="656" t="s">
        <v>42</v>
      </c>
      <c r="N2420" s="656" t="s">
        <v>16</v>
      </c>
      <c r="O2420" s="656" t="s">
        <v>64</v>
      </c>
      <c r="P2420" s="656" t="s">
        <v>45</v>
      </c>
      <c r="Q2420" s="657">
        <v>0</v>
      </c>
      <c r="R2420" s="657">
        <v>0</v>
      </c>
      <c r="S2420" s="657">
        <v>0</v>
      </c>
      <c r="T2420" s="657">
        <v>0</v>
      </c>
      <c r="U2420" s="657">
        <v>3222.3609999999999</v>
      </c>
      <c r="V2420" s="655">
        <v>2021</v>
      </c>
      <c r="W2420" s="659"/>
      <c r="X2420" s="660" t="str">
        <f t="shared" si="113"/>
        <v/>
      </c>
      <c r="Y2420" s="661" t="str">
        <f t="shared" si="111"/>
        <v/>
      </c>
      <c r="Z2420" s="661" t="str">
        <f t="shared" si="112"/>
        <v/>
      </c>
    </row>
    <row r="2421" spans="1:29" s="128" customFormat="1" ht="25" hidden="1">
      <c r="A2421" s="655">
        <v>99999</v>
      </c>
      <c r="B2421" s="656" t="s">
        <v>33</v>
      </c>
      <c r="C2421" s="655" t="s">
        <v>2793</v>
      </c>
      <c r="D2421" s="656" t="s">
        <v>1084</v>
      </c>
      <c r="E2421" s="656" t="s">
        <v>1084</v>
      </c>
      <c r="F2421" s="655">
        <v>99999</v>
      </c>
      <c r="G2421" s="656" t="s">
        <v>90</v>
      </c>
      <c r="H2421" s="656" t="s">
        <v>1183</v>
      </c>
      <c r="I2421" s="656" t="s">
        <v>1176</v>
      </c>
      <c r="J2421" s="655">
        <v>99999</v>
      </c>
      <c r="K2421" s="655">
        <v>4</v>
      </c>
      <c r="L2421" s="656" t="s">
        <v>412</v>
      </c>
      <c r="M2421" s="656" t="s">
        <v>42</v>
      </c>
      <c r="N2421" s="656" t="s">
        <v>17</v>
      </c>
      <c r="O2421" s="656" t="s">
        <v>82</v>
      </c>
      <c r="P2421" s="656" t="s">
        <v>45</v>
      </c>
      <c r="Q2421" s="657">
        <v>0</v>
      </c>
      <c r="R2421" s="657">
        <v>0</v>
      </c>
      <c r="S2421" s="657">
        <v>0</v>
      </c>
      <c r="T2421" s="657">
        <v>0</v>
      </c>
      <c r="U2421" s="657">
        <v>3633.0259999999998</v>
      </c>
      <c r="V2421" s="655">
        <v>2021</v>
      </c>
      <c r="W2421" s="659"/>
      <c r="X2421" s="660" t="str">
        <f t="shared" si="113"/>
        <v/>
      </c>
      <c r="Y2421" s="661" t="str">
        <f t="shared" si="111"/>
        <v/>
      </c>
      <c r="Z2421" s="661" t="str">
        <f t="shared" si="112"/>
        <v/>
      </c>
    </row>
    <row r="2422" spans="1:29" s="128" customFormat="1" hidden="1">
      <c r="A2422" s="655">
        <v>99999</v>
      </c>
      <c r="B2422" s="656" t="s">
        <v>54</v>
      </c>
      <c r="C2422" s="655" t="s">
        <v>2793</v>
      </c>
      <c r="D2422" s="656" t="s">
        <v>1084</v>
      </c>
      <c r="E2422" s="656" t="s">
        <v>1084</v>
      </c>
      <c r="F2422" s="655">
        <v>99999</v>
      </c>
      <c r="G2422" s="656" t="s">
        <v>41</v>
      </c>
      <c r="H2422" s="656" t="s">
        <v>1183</v>
      </c>
      <c r="I2422" s="656" t="s">
        <v>1176</v>
      </c>
      <c r="J2422" s="655">
        <v>99999</v>
      </c>
      <c r="K2422" s="655">
        <v>7</v>
      </c>
      <c r="L2422" s="656" t="s">
        <v>409</v>
      </c>
      <c r="M2422" s="656" t="s">
        <v>42</v>
      </c>
      <c r="N2422" s="656" t="s">
        <v>39</v>
      </c>
      <c r="O2422" s="656" t="s">
        <v>39</v>
      </c>
      <c r="P2422" s="656" t="s">
        <v>1037</v>
      </c>
      <c r="Q2422" s="657">
        <v>0</v>
      </c>
      <c r="R2422" s="657">
        <v>0</v>
      </c>
      <c r="S2422" s="657">
        <v>0</v>
      </c>
      <c r="T2422" s="657">
        <v>0</v>
      </c>
      <c r="U2422" s="657">
        <v>0</v>
      </c>
      <c r="V2422" s="655">
        <v>2021</v>
      </c>
      <c r="W2422" s="659"/>
      <c r="X2422" s="660" t="str">
        <f t="shared" si="113"/>
        <v/>
      </c>
      <c r="Y2422" s="661" t="str">
        <f t="shared" si="111"/>
        <v/>
      </c>
      <c r="Z2422" s="661" t="str">
        <f t="shared" si="112"/>
        <v/>
      </c>
    </row>
    <row r="2423" spans="1:29" s="128" customFormat="1" ht="25" hidden="1">
      <c r="A2423" s="655">
        <v>99999</v>
      </c>
      <c r="B2423" s="656" t="s">
        <v>54</v>
      </c>
      <c r="C2423" s="655" t="s">
        <v>2793</v>
      </c>
      <c r="D2423" s="656" t="s">
        <v>1084</v>
      </c>
      <c r="E2423" s="656" t="s">
        <v>1084</v>
      </c>
      <c r="F2423" s="655">
        <v>99999</v>
      </c>
      <c r="G2423" s="656" t="s">
        <v>57</v>
      </c>
      <c r="H2423" s="656" t="s">
        <v>1182</v>
      </c>
      <c r="I2423" s="656" t="s">
        <v>1176</v>
      </c>
      <c r="J2423" s="655">
        <v>99999</v>
      </c>
      <c r="K2423" s="655">
        <v>5</v>
      </c>
      <c r="L2423" s="656" t="s">
        <v>413</v>
      </c>
      <c r="M2423" s="656" t="s">
        <v>42</v>
      </c>
      <c r="N2423" s="656" t="s">
        <v>39</v>
      </c>
      <c r="O2423" s="656" t="s">
        <v>39</v>
      </c>
      <c r="P2423" s="656" t="s">
        <v>1037</v>
      </c>
      <c r="Q2423" s="657">
        <v>0</v>
      </c>
      <c r="R2423" s="657">
        <v>0</v>
      </c>
      <c r="S2423" s="657">
        <v>0</v>
      </c>
      <c r="T2423" s="657">
        <v>0</v>
      </c>
      <c r="U2423" s="657">
        <v>0</v>
      </c>
      <c r="V2423" s="655">
        <v>2021</v>
      </c>
      <c r="W2423" s="659"/>
      <c r="X2423" s="660" t="str">
        <f t="shared" si="113"/>
        <v/>
      </c>
      <c r="Y2423" s="661" t="str">
        <f t="shared" si="111"/>
        <v/>
      </c>
      <c r="Z2423" s="661" t="str">
        <f t="shared" si="112"/>
        <v/>
      </c>
    </row>
    <row r="2424" spans="1:29" s="128" customFormat="1" ht="25" hidden="1">
      <c r="A2424" s="655">
        <v>99999</v>
      </c>
      <c r="B2424" s="656" t="s">
        <v>54</v>
      </c>
      <c r="C2424" s="655" t="s">
        <v>2793</v>
      </c>
      <c r="D2424" s="656" t="s">
        <v>1084</v>
      </c>
      <c r="E2424" s="656" t="s">
        <v>1084</v>
      </c>
      <c r="F2424" s="655">
        <v>99999</v>
      </c>
      <c r="G2424" s="656" t="s">
        <v>131</v>
      </c>
      <c r="H2424" s="656" t="s">
        <v>1183</v>
      </c>
      <c r="I2424" s="656" t="s">
        <v>1176</v>
      </c>
      <c r="J2424" s="655">
        <v>99999</v>
      </c>
      <c r="K2424" s="655">
        <v>5</v>
      </c>
      <c r="L2424" s="656" t="s">
        <v>413</v>
      </c>
      <c r="M2424" s="656" t="s">
        <v>42</v>
      </c>
      <c r="N2424" s="656" t="s">
        <v>39</v>
      </c>
      <c r="O2424" s="656" t="s">
        <v>39</v>
      </c>
      <c r="P2424" s="656" t="s">
        <v>1037</v>
      </c>
      <c r="Q2424" s="657">
        <v>241158</v>
      </c>
      <c r="R2424" s="657">
        <v>26542</v>
      </c>
      <c r="S2424" s="657">
        <v>248085</v>
      </c>
      <c r="T2424" s="657">
        <v>27303</v>
      </c>
      <c r="U2424" s="657">
        <v>5045.299</v>
      </c>
      <c r="V2424" s="655">
        <v>2021</v>
      </c>
      <c r="W2424" s="659"/>
      <c r="X2424" s="660" t="str">
        <f t="shared" si="113"/>
        <v/>
      </c>
      <c r="Y2424" s="661" t="str">
        <f t="shared" si="111"/>
        <v/>
      </c>
      <c r="Z2424" s="661" t="str">
        <f t="shared" si="112"/>
        <v/>
      </c>
    </row>
    <row r="2425" spans="1:29" s="128" customFormat="1" hidden="1">
      <c r="A2425" s="655">
        <v>99999</v>
      </c>
      <c r="B2425" s="656" t="s">
        <v>33</v>
      </c>
      <c r="C2425" s="655" t="s">
        <v>2793</v>
      </c>
      <c r="D2425" s="656" t="s">
        <v>1084</v>
      </c>
      <c r="E2425" s="656" t="s">
        <v>1084</v>
      </c>
      <c r="F2425" s="655">
        <v>99999</v>
      </c>
      <c r="G2425" s="656" t="s">
        <v>57</v>
      </c>
      <c r="H2425" s="656" t="s">
        <v>1182</v>
      </c>
      <c r="I2425" s="656" t="s">
        <v>1176</v>
      </c>
      <c r="J2425" s="655">
        <v>99999</v>
      </c>
      <c r="K2425" s="655">
        <v>2</v>
      </c>
      <c r="L2425" s="656" t="s">
        <v>52</v>
      </c>
      <c r="M2425" s="656" t="s">
        <v>42</v>
      </c>
      <c r="N2425" s="656" t="s">
        <v>39</v>
      </c>
      <c r="O2425" s="656" t="s">
        <v>39</v>
      </c>
      <c r="P2425" s="656" t="s">
        <v>1037</v>
      </c>
      <c r="Q2425" s="657">
        <v>9050773</v>
      </c>
      <c r="R2425" s="657">
        <v>9050773</v>
      </c>
      <c r="S2425" s="657">
        <v>9333195</v>
      </c>
      <c r="T2425" s="657">
        <v>9333195</v>
      </c>
      <c r="U2425" s="657">
        <v>783934.99</v>
      </c>
      <c r="V2425" s="655">
        <v>2021</v>
      </c>
      <c r="W2425" s="659"/>
      <c r="X2425" s="660">
        <f t="shared" si="113"/>
        <v>11.905572680204004</v>
      </c>
      <c r="Y2425" s="661" t="str">
        <f t="shared" si="111"/>
        <v/>
      </c>
      <c r="Z2425" s="661" t="str">
        <f t="shared" si="112"/>
        <v/>
      </c>
    </row>
    <row r="2426" spans="1:29" s="128" customFormat="1" ht="25" hidden="1">
      <c r="A2426" s="655">
        <v>99999</v>
      </c>
      <c r="B2426" s="656" t="s">
        <v>54</v>
      </c>
      <c r="C2426" s="655" t="s">
        <v>2793</v>
      </c>
      <c r="D2426" s="656" t="s">
        <v>1084</v>
      </c>
      <c r="E2426" s="656" t="s">
        <v>1084</v>
      </c>
      <c r="F2426" s="655">
        <v>99999</v>
      </c>
      <c r="G2426" s="656" t="s">
        <v>131</v>
      </c>
      <c r="H2426" s="656" t="s">
        <v>1183</v>
      </c>
      <c r="I2426" s="656" t="s">
        <v>1176</v>
      </c>
      <c r="J2426" s="655">
        <v>99999</v>
      </c>
      <c r="K2426" s="655">
        <v>5</v>
      </c>
      <c r="L2426" s="656" t="s">
        <v>413</v>
      </c>
      <c r="M2426" s="656" t="s">
        <v>42</v>
      </c>
      <c r="N2426" s="656" t="s">
        <v>61</v>
      </c>
      <c r="O2426" s="656" t="s">
        <v>61</v>
      </c>
      <c r="P2426" s="656" t="s">
        <v>47</v>
      </c>
      <c r="Q2426" s="657">
        <v>2834</v>
      </c>
      <c r="R2426" s="657">
        <v>269</v>
      </c>
      <c r="S2426" s="657">
        <v>17414</v>
      </c>
      <c r="T2426" s="657">
        <v>1651</v>
      </c>
      <c r="U2426" s="657">
        <v>305.20299999999997</v>
      </c>
      <c r="V2426" s="655">
        <v>2021</v>
      </c>
      <c r="W2426" s="659"/>
      <c r="X2426" s="660" t="str">
        <f t="shared" si="113"/>
        <v/>
      </c>
      <c r="Y2426" s="661" t="str">
        <f t="shared" si="111"/>
        <v/>
      </c>
      <c r="Z2426" s="661" t="str">
        <f t="shared" si="112"/>
        <v/>
      </c>
    </row>
    <row r="2427" spans="1:29" s="128" customFormat="1" hidden="1">
      <c r="A2427" s="655">
        <v>99999</v>
      </c>
      <c r="B2427" s="656" t="s">
        <v>33</v>
      </c>
      <c r="C2427" s="655" t="s">
        <v>2793</v>
      </c>
      <c r="D2427" s="656" t="s">
        <v>1084</v>
      </c>
      <c r="E2427" s="656" t="s">
        <v>1084</v>
      </c>
      <c r="F2427" s="655">
        <v>99999</v>
      </c>
      <c r="G2427" s="656" t="s">
        <v>57</v>
      </c>
      <c r="H2427" s="656" t="s">
        <v>1182</v>
      </c>
      <c r="I2427" s="656" t="s">
        <v>1176</v>
      </c>
      <c r="J2427" s="655">
        <v>99999</v>
      </c>
      <c r="K2427" s="655">
        <v>2</v>
      </c>
      <c r="L2427" s="656" t="s">
        <v>52</v>
      </c>
      <c r="M2427" s="656" t="s">
        <v>42</v>
      </c>
      <c r="N2427" s="656" t="s">
        <v>61</v>
      </c>
      <c r="O2427" s="656" t="s">
        <v>61</v>
      </c>
      <c r="P2427" s="656" t="s">
        <v>47</v>
      </c>
      <c r="Q2427" s="657">
        <v>15532</v>
      </c>
      <c r="R2427" s="657">
        <v>15532</v>
      </c>
      <c r="S2427" s="657">
        <v>98131</v>
      </c>
      <c r="T2427" s="657">
        <v>98131</v>
      </c>
      <c r="U2427" s="657">
        <v>9188.2289999999994</v>
      </c>
      <c r="V2427" s="655">
        <v>2021</v>
      </c>
      <c r="W2427" s="659"/>
      <c r="X2427" s="660">
        <f t="shared" si="113"/>
        <v>10.680077738593585</v>
      </c>
      <c r="Y2427" s="661" t="str">
        <f t="shared" si="111"/>
        <v/>
      </c>
      <c r="Z2427" s="661" t="str">
        <f t="shared" si="112"/>
        <v/>
      </c>
    </row>
    <row r="2428" spans="1:29" s="128" customFormat="1" ht="25" hidden="1">
      <c r="A2428" s="655">
        <v>99999</v>
      </c>
      <c r="B2428" s="656" t="s">
        <v>33</v>
      </c>
      <c r="C2428" s="655" t="s">
        <v>2793</v>
      </c>
      <c r="D2428" s="656" t="s">
        <v>1084</v>
      </c>
      <c r="E2428" s="656" t="s">
        <v>1084</v>
      </c>
      <c r="F2428" s="655">
        <v>99999</v>
      </c>
      <c r="G2428" s="656" t="s">
        <v>90</v>
      </c>
      <c r="H2428" s="656" t="s">
        <v>1183</v>
      </c>
      <c r="I2428" s="656" t="s">
        <v>1176</v>
      </c>
      <c r="J2428" s="655">
        <v>99999</v>
      </c>
      <c r="K2428" s="655">
        <v>4</v>
      </c>
      <c r="L2428" s="656" t="s">
        <v>412</v>
      </c>
      <c r="M2428" s="656" t="s">
        <v>42</v>
      </c>
      <c r="N2428" s="656" t="s">
        <v>69</v>
      </c>
      <c r="O2428" s="656" t="s">
        <v>70</v>
      </c>
      <c r="P2428" s="656" t="s">
        <v>45</v>
      </c>
      <c r="Q2428" s="657">
        <v>0</v>
      </c>
      <c r="R2428" s="657">
        <v>0</v>
      </c>
      <c r="S2428" s="657">
        <v>0</v>
      </c>
      <c r="T2428" s="657">
        <v>0</v>
      </c>
      <c r="U2428" s="657">
        <v>0</v>
      </c>
      <c r="V2428" s="655">
        <v>2021</v>
      </c>
      <c r="W2428" s="659"/>
      <c r="X2428" s="660" t="str">
        <f t="shared" si="113"/>
        <v/>
      </c>
      <c r="Y2428" s="661" t="str">
        <f t="shared" si="111"/>
        <v/>
      </c>
      <c r="Z2428" s="661" t="str">
        <f t="shared" si="112"/>
        <v/>
      </c>
    </row>
    <row r="2429" spans="1:29">
      <c r="Q2429"/>
      <c r="V2429" s="1"/>
      <c r="W2429" s="1"/>
      <c r="X2429" s="1"/>
      <c r="Y2429" s="1"/>
      <c r="Z2429" s="1"/>
      <c r="AC2429" s="28"/>
    </row>
    <row r="2430" spans="1:29">
      <c r="Q2430"/>
      <c r="V2430" s="1"/>
      <c r="W2430" s="1"/>
      <c r="X2430" s="1"/>
      <c r="Y2430" s="1"/>
      <c r="Z2430" s="1"/>
      <c r="AC2430" s="28"/>
    </row>
    <row r="2431" spans="1:29">
      <c r="Q2431"/>
      <c r="V2431" s="146"/>
      <c r="W2431" s="147"/>
      <c r="X2431" s="59" t="s">
        <v>1284</v>
      </c>
      <c r="Y2431" s="60">
        <f>AVERAGE(Y7:Y2428)</f>
        <v>6.263151640510257</v>
      </c>
    </row>
    <row r="2432" spans="1:29">
      <c r="Q2432"/>
      <c r="V2432" s="146"/>
      <c r="W2432" s="147"/>
      <c r="X2432" s="59" t="s">
        <v>1285</v>
      </c>
      <c r="Y2432" s="60">
        <f>AVERAGE(Z7:Z2428)</f>
        <v>5.8363243897873316</v>
      </c>
    </row>
    <row r="2433" spans="1:29">
      <c r="Q2433" s="31" t="s">
        <v>1173</v>
      </c>
      <c r="R2433" s="32"/>
      <c r="S2433" s="32"/>
      <c r="T2433" s="32"/>
      <c r="U2433" s="32"/>
      <c r="V2433" s="146"/>
      <c r="W2433" s="147"/>
      <c r="X2433" s="59" t="s">
        <v>1406</v>
      </c>
      <c r="Y2433" s="60">
        <f>SUM(T2453,T2478,T2503,T2528,T2553,T2578,T2603)/SUM(U2453,U2478,U2503,U2528,U2553,U2578,U2603)</f>
        <v>14.60375241958206</v>
      </c>
    </row>
    <row r="2434" spans="1:29" ht="13" thickBot="1">
      <c r="G2434" s="25"/>
      <c r="Q2434" s="30">
        <f>SUBTOTAL(9,Q7:Q2428)</f>
        <v>119805114</v>
      </c>
      <c r="R2434" s="30">
        <f>SUBTOTAL(9,R7:R2428)</f>
        <v>114402200</v>
      </c>
      <c r="S2434" s="30">
        <f>SUBTOTAL(9,S7:S2428)</f>
        <v>174621940</v>
      </c>
      <c r="T2434" s="132">
        <f>SUBTOTAL(9,T7:T2428)</f>
        <v>169051901</v>
      </c>
      <c r="U2434" s="145">
        <f>SUBTOTAL(9,U7:U2428)</f>
        <v>18676522.881999999</v>
      </c>
      <c r="V2434" s="146"/>
      <c r="W2434" s="147"/>
      <c r="X2434" s="59" t="s">
        <v>1407</v>
      </c>
      <c r="Y2434" s="60">
        <f>SUM(T2450,T2475,T2500,T2525,T2550,T2575,T2600)/SUM(U2450,U2475,U2500,U2525,U2550,U2575,U2600)</f>
        <v>11.762548880441463</v>
      </c>
    </row>
    <row r="2435" spans="1:29" ht="91.5" thickBot="1">
      <c r="G2435" s="16"/>
      <c r="H2435" s="16"/>
      <c r="I2435" s="16"/>
      <c r="J2435" s="16"/>
      <c r="K2435" s="16"/>
      <c r="L2435" s="16"/>
      <c r="M2435" s="16"/>
      <c r="N2435" s="16"/>
      <c r="O2435" s="16"/>
      <c r="P2435" s="16"/>
      <c r="Q2435" s="17"/>
      <c r="R2435" s="17"/>
      <c r="S2435" s="17"/>
      <c r="T2435" s="133" t="s">
        <v>2288</v>
      </c>
      <c r="U2435" s="134">
        <f>T2434/U2434</f>
        <v>9.0515725045869377</v>
      </c>
      <c r="X2435" s="62" t="s">
        <v>1404</v>
      </c>
      <c r="Y2435" s="62" t="s">
        <v>1403</v>
      </c>
      <c r="Z2435" s="63" t="s">
        <v>2746</v>
      </c>
      <c r="AB2435" s="28"/>
      <c r="AC2435" s="20"/>
    </row>
    <row r="2436" spans="1:29">
      <c r="G2436" s="4" t="s">
        <v>81</v>
      </c>
      <c r="H2436" s="5" t="s">
        <v>398</v>
      </c>
      <c r="I2436" s="5"/>
      <c r="J2436" s="5"/>
      <c r="K2436" s="5"/>
      <c r="L2436" s="5"/>
      <c r="M2436" s="6" t="s">
        <v>392</v>
      </c>
      <c r="N2436" s="7" t="s">
        <v>43</v>
      </c>
      <c r="O2436" s="7" t="s">
        <v>44</v>
      </c>
      <c r="P2436" s="5"/>
      <c r="Q2436" s="50">
        <f t="shared" ref="Q2436:T2438" si="114">SUMIFS(Q$7:Q$2428,$K$7:$K$2428, "&lt;4",$G$7:$G$2428,$G$2436,$N$7:$N$2428,$N2436)</f>
        <v>0</v>
      </c>
      <c r="R2436" s="50">
        <f t="shared" si="114"/>
        <v>0</v>
      </c>
      <c r="S2436" s="50">
        <f t="shared" si="114"/>
        <v>0</v>
      </c>
      <c r="T2436" s="53">
        <f t="shared" si="114"/>
        <v>0</v>
      </c>
      <c r="U2436" s="53">
        <f>SUMIFS(U$7:U$2429,$K$7:$K$2429, "&lt;4",$G$7:$G$2429,$G$2436,$N$7:$N$2429,$N2436)</f>
        <v>0</v>
      </c>
      <c r="V2436" s="5"/>
      <c r="W2436" s="159">
        <f t="shared" ref="W2436:W2448" si="115">SUMIFS(T$7:T$2428,$K$7:$K$2428, "&lt;4",$G$7:$G$2428,$G$2436,$N$7:$N$2428,$N2436, $W$7:$W$2428, "=x")</f>
        <v>0</v>
      </c>
      <c r="X2436" s="51">
        <f>SUMIFS(T$7:T$2428,U$7:U$2428, "&gt;0",$K$7:$K$2428, "&lt;4",$G$7:$G$2428,$G$2436,$N$7:$N$2428,$N2436)</f>
        <v>0</v>
      </c>
      <c r="Y2436" s="51">
        <f>SUMIFS(U$7:U$2428,U$7:U$2428, "&gt;0",$K$7:$K$2428, "&lt;4",$G$7:$G$2428,$G$2436,$N$7:$N$2428,$N2436)</f>
        <v>0</v>
      </c>
      <c r="Z2436" s="52" t="e">
        <f t="shared" ref="Z2436:Z2448" si="116">X2436/Y2436</f>
        <v>#DIV/0!</v>
      </c>
      <c r="AB2436" s="28"/>
    </row>
    <row r="2437" spans="1:29">
      <c r="G2437" s="8"/>
      <c r="M2437" s="2" t="s">
        <v>393</v>
      </c>
      <c r="N2437" s="3" t="s">
        <v>48</v>
      </c>
      <c r="O2437" s="3" t="s">
        <v>44</v>
      </c>
      <c r="Q2437" s="53">
        <f t="shared" si="114"/>
        <v>0</v>
      </c>
      <c r="R2437" s="53">
        <f t="shared" si="114"/>
        <v>0</v>
      </c>
      <c r="S2437" s="53">
        <f t="shared" si="114"/>
        <v>0</v>
      </c>
      <c r="T2437" s="53">
        <f t="shared" si="114"/>
        <v>0</v>
      </c>
      <c r="U2437" s="53">
        <f>SUMIFS(U$7:U$2428,$K$7:$K$2428, "&lt;4",$G$7:$G$2428,$G$2436,$N$7:$N$2428,$N2437)</f>
        <v>0</v>
      </c>
      <c r="W2437" s="160">
        <f t="shared" si="115"/>
        <v>0</v>
      </c>
      <c r="X2437" s="54">
        <f>SUMIFS(T$7:T$2428,U$7:U$2428, "&gt;0",$K$7:$K$2428, "&lt;4",$G$7:$G$2428,$G$2436,$N$7:$N$2428,$N2437)</f>
        <v>0</v>
      </c>
      <c r="Y2437" s="54">
        <f>SUMIFS(U$7:U$2428,U$7:U$2428, "&gt;0",$K$7:$K$2428, "&lt;4",$G$7:$G$2428,$G$2436,$N$7:$N$2428,$N2437)</f>
        <v>0</v>
      </c>
      <c r="Z2437" s="55" t="e">
        <f t="shared" si="116"/>
        <v>#DIV/0!</v>
      </c>
      <c r="AB2437" s="28"/>
    </row>
    <row r="2438" spans="1:29" s="20" customFormat="1">
      <c r="G2438" s="121"/>
      <c r="M2438" s="117" t="s">
        <v>381</v>
      </c>
      <c r="N2438" s="118" t="s">
        <v>46</v>
      </c>
      <c r="O2438" s="118" t="s">
        <v>46</v>
      </c>
      <c r="Q2438" s="122">
        <f t="shared" si="114"/>
        <v>64430</v>
      </c>
      <c r="R2438" s="122">
        <f t="shared" si="114"/>
        <v>60892</v>
      </c>
      <c r="S2438" s="122">
        <f t="shared" si="114"/>
        <v>372527</v>
      </c>
      <c r="T2438" s="161">
        <f t="shared" si="114"/>
        <v>352001</v>
      </c>
      <c r="U2438" s="122">
        <f>SUMIFS(U$7:U$2428,$K$7:$K$2428, "&lt;4",$G$7:$G$2428,$G$2436,$N$7:$N$2428,$N2438)</f>
        <v>34964.082999999999</v>
      </c>
      <c r="W2438" s="160">
        <f t="shared" si="115"/>
        <v>231496</v>
      </c>
      <c r="X2438" s="123">
        <f>SUMIFS(T$7:T$2428,U$7:U$2428, "&gt;0",$K$7:$K$2428, "&lt;4",$G$7:$G$2428,$G$2436,$N$7:$N$2428,$N2438)</f>
        <v>350867</v>
      </c>
      <c r="Y2438" s="54">
        <f>SUMIFS(U$7:U$2428,U$7:U$2428, "&gt;0",$K$7:$K$2428, "&lt;4",$G$7:$G$2428,$G$2436,$N$7:$N$2428,$N2438)</f>
        <v>35194.737999999998</v>
      </c>
      <c r="Z2438" s="55">
        <f t="shared" si="116"/>
        <v>9.969302797480692</v>
      </c>
      <c r="AA2438" s="15"/>
      <c r="AB2438" s="28"/>
    </row>
    <row r="2439" spans="1:29">
      <c r="G2439" s="8"/>
      <c r="K2439" s="607"/>
      <c r="L2439" s="607"/>
      <c r="M2439" s="622" t="s">
        <v>3078</v>
      </c>
      <c r="N2439" s="3" t="s">
        <v>39</v>
      </c>
      <c r="O2439" s="3" t="s">
        <v>39</v>
      </c>
      <c r="Q2439" s="53">
        <f>SUMIFS(Q$7:Q$2428,$K$7:$K$2428, "&lt;4",$G$7:$G$2428,$G$2436,$N$7:$N$2428,$N2439)-Q2612</f>
        <v>111500141</v>
      </c>
      <c r="R2439" s="53">
        <f>SUMIFS(R$7:R$2428,$K$7:$K$2428, "&lt;4",$G$7:$G$2428,$G$2436,$N$7:$N$2428,$N2439)-R2612</f>
        <v>106100765</v>
      </c>
      <c r="S2439" s="53">
        <f>SUMIFS(S$7:S$2428,$K$7:$K$2428, "&lt;4",$G$7:$G$2428,$G$2436,$N$7:$N$2428,$N2439)-S2612</f>
        <v>114812224</v>
      </c>
      <c r="T2439" s="160">
        <f>SUMIFS(T$7:T$2428,$K$7:$K$2428, "&lt;4",$G$7:$G$2428,$G$2436,$N$7:$N$2428,$N2439)-T2612</f>
        <v>109262711</v>
      </c>
      <c r="U2439" s="53">
        <f>SUMIFS(U$7:U$2428,$K$7:$K$2428, "&lt;4",$G$7:$G$2428,$G$2436,$N$7:$N$2428,$N2439)-U2612</f>
        <v>14280137.971999999</v>
      </c>
      <c r="V2439" s="607"/>
      <c r="W2439" s="160">
        <f t="shared" si="115"/>
        <v>97601760</v>
      </c>
      <c r="X2439" s="623">
        <f>SUMIFS(T$7:T$2428,U$7:U$2428, "&gt;0",$K$7:$K$2428, "&lt;4",$G$7:$G$2428,$G$2436,$N$7:$N$2428,$N2439)-X2612</f>
        <v>109260425</v>
      </c>
      <c r="Y2439" s="623">
        <f>SUMIFS(U$7:U$2428,U$7:U$2428, "&gt;0",$K$7:$K$2428, "&lt;4",$G$7:$G$2428,$G$2436,$N$7:$N$2428,$N2439)-Y2612</f>
        <v>14280137.971999999</v>
      </c>
      <c r="Z2439" s="624">
        <f t="shared" si="116"/>
        <v>7.6512163407828453</v>
      </c>
    </row>
    <row r="2440" spans="1:29">
      <c r="A2440" s="25"/>
      <c r="B2440" s="20"/>
      <c r="C2440" s="730" t="s">
        <v>3714</v>
      </c>
      <c r="D2440" s="117" t="s">
        <v>1281</v>
      </c>
      <c r="E2440" s="119">
        <f>T2440/(T2440+T2451)</f>
        <v>0.55000583702743788</v>
      </c>
      <c r="G2440" s="8"/>
      <c r="K2440" s="743"/>
      <c r="L2440" s="743"/>
      <c r="M2440" s="744" t="s">
        <v>394</v>
      </c>
      <c r="N2440" s="118" t="s">
        <v>17</v>
      </c>
      <c r="O2440" s="3" t="s">
        <v>82</v>
      </c>
      <c r="Q2440" s="53">
        <f t="shared" ref="Q2440:U2448" si="117">SUMIFS(Q$7:Q$2428,$K$7:$K$2428, "&lt;4",$G$7:$G$2428,$G$2436,$N$7:$N$2428,$N2440)</f>
        <v>1195086</v>
      </c>
      <c r="R2440" s="53">
        <f t="shared" si="117"/>
        <v>1195086</v>
      </c>
      <c r="S2440" s="53">
        <f t="shared" si="117"/>
        <v>16762991</v>
      </c>
      <c r="T2440" s="742">
        <f t="shared" si="117"/>
        <v>16762991</v>
      </c>
      <c r="U2440" s="53">
        <f t="shared" si="117"/>
        <v>925589.348</v>
      </c>
      <c r="W2440" s="160">
        <f t="shared" si="115"/>
        <v>0</v>
      </c>
      <c r="X2440" s="54">
        <f t="shared" ref="X2440:X2448" si="118">SUMIFS(T$7:T$2428,U$7:U$2428, "&gt;0",$K$7:$K$2428, "&lt;4",$G$7:$G$2428,$G$2436,$N$7:$N$2428,$N2440)</f>
        <v>16762991</v>
      </c>
      <c r="Y2440" s="54">
        <f t="shared" ref="Y2440:Y2448" si="119">SUMIFS(U$7:U$2428,U$7:U$2428, "&gt;0",$K$7:$K$2428, "&lt;4",$G$7:$G$2428,$G$2436,$N$7:$N$2428,$N2440)</f>
        <v>925589.348</v>
      </c>
      <c r="Z2440" s="55">
        <f t="shared" si="116"/>
        <v>18.110613563370439</v>
      </c>
    </row>
    <row r="2441" spans="1:29">
      <c r="A2441" s="25"/>
      <c r="B2441" s="20"/>
      <c r="C2441" s="117"/>
      <c r="D2441" s="117" t="s">
        <v>1282</v>
      </c>
      <c r="E2441" s="119">
        <f>T2451/(T2440+T2451)</f>
        <v>0.44999416297256217</v>
      </c>
      <c r="G2441" s="8"/>
      <c r="L2441" s="20"/>
      <c r="M2441" s="117" t="s">
        <v>395</v>
      </c>
      <c r="N2441" s="118" t="s">
        <v>82</v>
      </c>
      <c r="O2441" s="118" t="s">
        <v>82</v>
      </c>
      <c r="P2441" s="20"/>
      <c r="Q2441" s="53">
        <f t="shared" si="117"/>
        <v>0</v>
      </c>
      <c r="R2441" s="53">
        <f t="shared" si="117"/>
        <v>0</v>
      </c>
      <c r="S2441" s="53">
        <f t="shared" si="117"/>
        <v>0</v>
      </c>
      <c r="T2441" s="53">
        <f t="shared" si="117"/>
        <v>0</v>
      </c>
      <c r="U2441" s="53">
        <f t="shared" si="117"/>
        <v>0</v>
      </c>
      <c r="W2441" s="160">
        <f t="shared" si="115"/>
        <v>0</v>
      </c>
      <c r="X2441" s="54">
        <f t="shared" si="118"/>
        <v>0</v>
      </c>
      <c r="Y2441" s="54">
        <f t="shared" si="119"/>
        <v>0</v>
      </c>
      <c r="Z2441" s="55" t="e">
        <f t="shared" si="116"/>
        <v>#DIV/0!</v>
      </c>
    </row>
    <row r="2442" spans="1:29">
      <c r="B2442" s="20"/>
      <c r="C2442" s="20"/>
      <c r="D2442" s="20"/>
      <c r="E2442" s="20"/>
      <c r="G2442" s="8"/>
      <c r="L2442" s="20"/>
      <c r="M2442" s="117" t="s">
        <v>390</v>
      </c>
      <c r="N2442" s="118" t="s">
        <v>402</v>
      </c>
      <c r="O2442" s="118" t="s">
        <v>82</v>
      </c>
      <c r="P2442" s="20"/>
      <c r="Q2442" s="53">
        <f t="shared" si="117"/>
        <v>80</v>
      </c>
      <c r="R2442" s="53">
        <f t="shared" si="117"/>
        <v>80</v>
      </c>
      <c r="S2442" s="53">
        <f t="shared" si="117"/>
        <v>1920</v>
      </c>
      <c r="T2442" s="53">
        <f t="shared" si="117"/>
        <v>1920</v>
      </c>
      <c r="U2442" s="53">
        <f t="shared" si="117"/>
        <v>56.98</v>
      </c>
      <c r="W2442" s="160">
        <f t="shared" si="115"/>
        <v>0</v>
      </c>
      <c r="X2442" s="54">
        <f t="shared" si="118"/>
        <v>1920</v>
      </c>
      <c r="Y2442" s="54">
        <f t="shared" si="119"/>
        <v>56.98</v>
      </c>
      <c r="Z2442" s="55">
        <f t="shared" si="116"/>
        <v>33.696033696033695</v>
      </c>
      <c r="AB2442" s="1"/>
    </row>
    <row r="2443" spans="1:29">
      <c r="G2443" s="8"/>
      <c r="L2443" s="20"/>
      <c r="M2443" s="117" t="s">
        <v>383</v>
      </c>
      <c r="N2443" s="118" t="s">
        <v>65</v>
      </c>
      <c r="O2443" s="118" t="s">
        <v>65</v>
      </c>
      <c r="P2443" s="20"/>
      <c r="Q2443" s="53">
        <f t="shared" si="117"/>
        <v>0</v>
      </c>
      <c r="R2443" s="53">
        <f t="shared" si="117"/>
        <v>0</v>
      </c>
      <c r="S2443" s="53">
        <f t="shared" si="117"/>
        <v>0</v>
      </c>
      <c r="T2443" s="53">
        <f t="shared" si="117"/>
        <v>0</v>
      </c>
      <c r="U2443" s="53">
        <f t="shared" si="117"/>
        <v>0</v>
      </c>
      <c r="W2443" s="160">
        <f t="shared" si="115"/>
        <v>0</v>
      </c>
      <c r="X2443" s="54">
        <f t="shared" si="118"/>
        <v>0</v>
      </c>
      <c r="Y2443" s="54">
        <f t="shared" si="119"/>
        <v>0</v>
      </c>
      <c r="Z2443" s="55" t="e">
        <f t="shared" si="116"/>
        <v>#DIV/0!</v>
      </c>
      <c r="AB2443" s="1"/>
    </row>
    <row r="2444" spans="1:29">
      <c r="G2444" s="8"/>
      <c r="L2444" s="20"/>
      <c r="M2444" s="117" t="s">
        <v>382</v>
      </c>
      <c r="N2444" s="118" t="s">
        <v>61</v>
      </c>
      <c r="O2444" s="118" t="s">
        <v>61</v>
      </c>
      <c r="P2444" s="20"/>
      <c r="Q2444" s="53">
        <f t="shared" si="117"/>
        <v>79623</v>
      </c>
      <c r="R2444" s="53">
        <f t="shared" si="117"/>
        <v>79623</v>
      </c>
      <c r="S2444" s="53">
        <f t="shared" si="117"/>
        <v>498597</v>
      </c>
      <c r="T2444" s="160">
        <f t="shared" si="117"/>
        <v>498597</v>
      </c>
      <c r="U2444" s="53">
        <f t="shared" si="117"/>
        <v>37620.975999999995</v>
      </c>
      <c r="W2444" s="160">
        <f t="shared" si="115"/>
        <v>498597</v>
      </c>
      <c r="X2444" s="54">
        <f t="shared" si="118"/>
        <v>498597</v>
      </c>
      <c r="Y2444" s="54">
        <f t="shared" si="119"/>
        <v>37620.975999999995</v>
      </c>
      <c r="Z2444" s="55">
        <f t="shared" si="116"/>
        <v>13.25316493649713</v>
      </c>
      <c r="AB2444" s="1"/>
    </row>
    <row r="2445" spans="1:29">
      <c r="G2445" s="8"/>
      <c r="L2445" s="20"/>
      <c r="M2445" s="117" t="s">
        <v>384</v>
      </c>
      <c r="N2445" s="118" t="s">
        <v>66</v>
      </c>
      <c r="O2445" s="118" t="s">
        <v>67</v>
      </c>
      <c r="P2445" s="20"/>
      <c r="Q2445" s="53">
        <f t="shared" si="117"/>
        <v>0</v>
      </c>
      <c r="R2445" s="53">
        <f t="shared" si="117"/>
        <v>0</v>
      </c>
      <c r="S2445" s="53">
        <f t="shared" si="117"/>
        <v>0</v>
      </c>
      <c r="T2445" s="53">
        <f t="shared" si="117"/>
        <v>0</v>
      </c>
      <c r="U2445" s="53">
        <f t="shared" si="117"/>
        <v>0</v>
      </c>
      <c r="W2445" s="160">
        <f t="shared" si="115"/>
        <v>0</v>
      </c>
      <c r="X2445" s="54">
        <f t="shared" si="118"/>
        <v>0</v>
      </c>
      <c r="Y2445" s="54">
        <f t="shared" si="119"/>
        <v>0</v>
      </c>
      <c r="Z2445" s="55" t="e">
        <f t="shared" si="116"/>
        <v>#DIV/0!</v>
      </c>
      <c r="AB2445" s="1"/>
    </row>
    <row r="2446" spans="1:29">
      <c r="G2446" s="8"/>
      <c r="L2446" s="20"/>
      <c r="M2446" s="117" t="s">
        <v>385</v>
      </c>
      <c r="N2446" s="118" t="s">
        <v>76</v>
      </c>
      <c r="O2446" s="118" t="s">
        <v>67</v>
      </c>
      <c r="P2446" s="20"/>
      <c r="Q2446" s="53">
        <f t="shared" si="117"/>
        <v>3270</v>
      </c>
      <c r="R2446" s="53">
        <f t="shared" si="117"/>
        <v>3270</v>
      </c>
      <c r="S2446" s="53">
        <f t="shared" si="117"/>
        <v>18456</v>
      </c>
      <c r="T2446" s="160">
        <f t="shared" si="117"/>
        <v>18456</v>
      </c>
      <c r="U2446" s="53">
        <f t="shared" si="117"/>
        <v>1384.9680000000001</v>
      </c>
      <c r="W2446" s="160">
        <f t="shared" si="115"/>
        <v>10451</v>
      </c>
      <c r="X2446" s="54">
        <f t="shared" si="118"/>
        <v>18456</v>
      </c>
      <c r="Y2446" s="54">
        <f t="shared" si="119"/>
        <v>1384.9680000000001</v>
      </c>
      <c r="Z2446" s="55">
        <f t="shared" si="116"/>
        <v>13.32593966069974</v>
      </c>
      <c r="AB2446" s="1"/>
    </row>
    <row r="2447" spans="1:29">
      <c r="G2447" s="8"/>
      <c r="L2447" s="20"/>
      <c r="M2447" s="117" t="s">
        <v>386</v>
      </c>
      <c r="N2447" s="118" t="s">
        <v>73</v>
      </c>
      <c r="O2447" s="118" t="s">
        <v>67</v>
      </c>
      <c r="P2447" s="20"/>
      <c r="Q2447" s="53">
        <f t="shared" si="117"/>
        <v>0</v>
      </c>
      <c r="R2447" s="53">
        <f t="shared" si="117"/>
        <v>0</v>
      </c>
      <c r="S2447" s="53">
        <f t="shared" si="117"/>
        <v>0</v>
      </c>
      <c r="T2447" s="53">
        <f t="shared" si="117"/>
        <v>0</v>
      </c>
      <c r="U2447" s="53">
        <f t="shared" si="117"/>
        <v>0</v>
      </c>
      <c r="W2447" s="160">
        <f t="shared" si="115"/>
        <v>0</v>
      </c>
      <c r="X2447" s="54">
        <f t="shared" si="118"/>
        <v>0</v>
      </c>
      <c r="Y2447" s="54">
        <f t="shared" si="119"/>
        <v>0</v>
      </c>
      <c r="Z2447" s="55" t="e">
        <f t="shared" si="116"/>
        <v>#DIV/0!</v>
      </c>
      <c r="AB2447" s="1"/>
    </row>
    <row r="2448" spans="1:29">
      <c r="G2448" s="8"/>
      <c r="L2448" s="20"/>
      <c r="M2448" s="117" t="s">
        <v>435</v>
      </c>
      <c r="N2448" s="118" t="s">
        <v>426</v>
      </c>
      <c r="O2448" s="118" t="s">
        <v>427</v>
      </c>
      <c r="P2448" s="20"/>
      <c r="Q2448" s="53">
        <f t="shared" si="117"/>
        <v>0</v>
      </c>
      <c r="R2448" s="53">
        <f t="shared" si="117"/>
        <v>0</v>
      </c>
      <c r="S2448" s="53">
        <f t="shared" si="117"/>
        <v>0</v>
      </c>
      <c r="T2448" s="53">
        <f t="shared" si="117"/>
        <v>0</v>
      </c>
      <c r="U2448" s="53">
        <f t="shared" si="117"/>
        <v>0</v>
      </c>
      <c r="W2448" s="160">
        <f t="shared" si="115"/>
        <v>0</v>
      </c>
      <c r="X2448" s="54">
        <f t="shared" si="118"/>
        <v>0</v>
      </c>
      <c r="Y2448" s="54">
        <f t="shared" si="119"/>
        <v>0</v>
      </c>
      <c r="Z2448" s="55" t="e">
        <f t="shared" si="116"/>
        <v>#DIV/0!</v>
      </c>
      <c r="AB2448" s="1"/>
    </row>
    <row r="2449" spans="7:28">
      <c r="G2449" s="8"/>
      <c r="L2449" s="20"/>
      <c r="M2449" s="20"/>
      <c r="N2449" s="20"/>
      <c r="O2449" s="20"/>
      <c r="P2449" s="20"/>
      <c r="Q2449"/>
      <c r="R2449"/>
      <c r="S2449"/>
      <c r="T2449"/>
      <c r="U2449"/>
      <c r="W2449" s="1"/>
      <c r="Z2449" s="58"/>
      <c r="AB2449" s="1"/>
    </row>
    <row r="2450" spans="7:28">
      <c r="G2450" s="8"/>
      <c r="H2450" t="s">
        <v>397</v>
      </c>
      <c r="L2450" s="20"/>
      <c r="M2450" s="117" t="s">
        <v>388</v>
      </c>
      <c r="N2450" s="118" t="s">
        <v>63</v>
      </c>
      <c r="O2450" s="118" t="s">
        <v>64</v>
      </c>
      <c r="P2450" s="20"/>
      <c r="Q2450" s="53">
        <f t="shared" ref="Q2450:U2457" si="120">SUMIFS(Q$7:Q$2428,$K$7:$K$2428, "&lt;4",$G$7:$G$2428,$G$2436,$N$7:$N$2428,$N2450)</f>
        <v>3284205</v>
      </c>
      <c r="R2450" s="53">
        <f t="shared" si="120"/>
        <v>3284205</v>
      </c>
      <c r="S2450" s="53">
        <f t="shared" si="120"/>
        <v>1605038</v>
      </c>
      <c r="T2450" s="53">
        <f t="shared" si="120"/>
        <v>1605038</v>
      </c>
      <c r="U2450" s="53">
        <f t="shared" si="120"/>
        <v>119753</v>
      </c>
      <c r="W2450" s="160">
        <f t="shared" ref="W2450:W2457" si="121">SUMIFS(T$7:T$2428,$K$7:$K$2428, "&lt;4",$G$7:$G$2428,$G$2436,$N$7:$N$2428,$N2450, $W$7:$W$2428, "=x")</f>
        <v>0</v>
      </c>
      <c r="X2450" s="54">
        <f t="shared" ref="X2450:X2457" si="122">SUMIFS(T$7:T$2428,U$7:U$2428, "&gt;0",$K$7:$K$2428, "&lt;4",$G$7:$G$2428,$G$2436,$N$7:$N$2428,$N2450)</f>
        <v>1605038</v>
      </c>
      <c r="Y2450" s="54">
        <f t="shared" ref="Y2450:Y2457" si="123">SUMIFS(U$7:U$2428,U$7:U$2428, "&gt;0",$K$7:$K$2428, "&lt;4",$G$7:$G$2428,$G$2436,$N$7:$N$2428,$N2450)</f>
        <v>119753</v>
      </c>
      <c r="Z2450" s="55">
        <f t="shared" ref="Z2450:Z2457" si="124">X2450/Y2450</f>
        <v>13.402904311374245</v>
      </c>
      <c r="AB2450" s="1"/>
    </row>
    <row r="2451" spans="7:28">
      <c r="G2451" s="8"/>
      <c r="K2451" s="743"/>
      <c r="L2451" s="745"/>
      <c r="M2451" s="744" t="s">
        <v>391</v>
      </c>
      <c r="N2451" s="118" t="s">
        <v>16</v>
      </c>
      <c r="O2451" s="118" t="s">
        <v>64</v>
      </c>
      <c r="P2451" s="20"/>
      <c r="Q2451" s="53">
        <f t="shared" si="120"/>
        <v>1869241</v>
      </c>
      <c r="R2451" s="53">
        <f t="shared" si="120"/>
        <v>1869241</v>
      </c>
      <c r="S2451" s="53">
        <f t="shared" si="120"/>
        <v>13714851</v>
      </c>
      <c r="T2451" s="742">
        <f t="shared" si="120"/>
        <v>13714851</v>
      </c>
      <c r="U2451" s="53">
        <f t="shared" si="120"/>
        <v>757281.38399999996</v>
      </c>
      <c r="W2451" s="160">
        <f t="shared" si="121"/>
        <v>0</v>
      </c>
      <c r="X2451" s="54">
        <f t="shared" si="122"/>
        <v>13714851</v>
      </c>
      <c r="Y2451" s="54">
        <f t="shared" si="123"/>
        <v>757281.38399999996</v>
      </c>
      <c r="Z2451" s="55">
        <f t="shared" si="124"/>
        <v>18.110640628134075</v>
      </c>
      <c r="AB2451" s="1"/>
    </row>
    <row r="2452" spans="7:28">
      <c r="G2452" s="8"/>
      <c r="L2452" s="20"/>
      <c r="M2452" s="117" t="s">
        <v>387</v>
      </c>
      <c r="N2452" s="118" t="s">
        <v>154</v>
      </c>
      <c r="O2452" s="118" t="s">
        <v>70</v>
      </c>
      <c r="P2452" s="20"/>
      <c r="Q2452" s="53">
        <f t="shared" si="120"/>
        <v>0</v>
      </c>
      <c r="R2452" s="53">
        <f t="shared" si="120"/>
        <v>0</v>
      </c>
      <c r="S2452" s="53">
        <f t="shared" si="120"/>
        <v>0</v>
      </c>
      <c r="T2452" s="53">
        <f t="shared" si="120"/>
        <v>0</v>
      </c>
      <c r="U2452" s="53">
        <f t="shared" si="120"/>
        <v>0</v>
      </c>
      <c r="W2452" s="160">
        <f t="shared" si="121"/>
        <v>0</v>
      </c>
      <c r="X2452" s="54">
        <f t="shared" si="122"/>
        <v>0</v>
      </c>
      <c r="Y2452" s="54">
        <f t="shared" si="123"/>
        <v>0</v>
      </c>
      <c r="Z2452" s="55" t="e">
        <f t="shared" si="124"/>
        <v>#DIV/0!</v>
      </c>
      <c r="AB2452" s="1"/>
    </row>
    <row r="2453" spans="7:28">
      <c r="G2453" s="8"/>
      <c r="L2453" s="20"/>
      <c r="M2453" s="117" t="s">
        <v>396</v>
      </c>
      <c r="N2453" s="118" t="s">
        <v>69</v>
      </c>
      <c r="O2453" s="118" t="s">
        <v>70</v>
      </c>
      <c r="P2453" s="20"/>
      <c r="Q2453" s="53">
        <f t="shared" si="120"/>
        <v>151886</v>
      </c>
      <c r="R2453" s="53">
        <f t="shared" si="120"/>
        <v>151886</v>
      </c>
      <c r="S2453" s="53">
        <f t="shared" si="120"/>
        <v>1411375</v>
      </c>
      <c r="T2453" s="53">
        <f t="shared" si="120"/>
        <v>1411375</v>
      </c>
      <c r="U2453" s="53">
        <f t="shared" si="120"/>
        <v>70191.281000000003</v>
      </c>
      <c r="W2453" s="160">
        <f t="shared" si="121"/>
        <v>0</v>
      </c>
      <c r="X2453" s="54">
        <f t="shared" si="122"/>
        <v>1411375</v>
      </c>
      <c r="Y2453" s="54">
        <f t="shared" si="123"/>
        <v>70191.281000000003</v>
      </c>
      <c r="Z2453" s="55">
        <f t="shared" si="124"/>
        <v>20.107554384140673</v>
      </c>
      <c r="AB2453" s="1"/>
    </row>
    <row r="2454" spans="7:28">
      <c r="G2454" s="8"/>
      <c r="L2454" s="20"/>
      <c r="M2454" s="117" t="s">
        <v>389</v>
      </c>
      <c r="N2454" s="118" t="s">
        <v>155</v>
      </c>
      <c r="O2454" s="118" t="s">
        <v>49</v>
      </c>
      <c r="P2454" s="20"/>
      <c r="Q2454" s="53">
        <f t="shared" si="120"/>
        <v>0</v>
      </c>
      <c r="R2454" s="53">
        <f t="shared" si="120"/>
        <v>0</v>
      </c>
      <c r="S2454" s="53">
        <f t="shared" si="120"/>
        <v>0</v>
      </c>
      <c r="T2454" s="53">
        <f t="shared" si="120"/>
        <v>0</v>
      </c>
      <c r="U2454" s="53">
        <f t="shared" si="120"/>
        <v>0</v>
      </c>
      <c r="W2454" s="160">
        <f t="shared" si="121"/>
        <v>0</v>
      </c>
      <c r="X2454" s="54">
        <f t="shared" si="122"/>
        <v>0</v>
      </c>
      <c r="Y2454" s="54">
        <f t="shared" si="123"/>
        <v>0</v>
      </c>
      <c r="Z2454" s="55" t="e">
        <f t="shared" si="124"/>
        <v>#DIV/0!</v>
      </c>
      <c r="AB2454" s="1"/>
    </row>
    <row r="2455" spans="7:28">
      <c r="G2455" s="8"/>
      <c r="L2455" s="20"/>
      <c r="M2455" s="117" t="s">
        <v>437</v>
      </c>
      <c r="N2455" s="118" t="s">
        <v>419</v>
      </c>
      <c r="O2455" s="118" t="s">
        <v>49</v>
      </c>
      <c r="P2455" s="20"/>
      <c r="Q2455" s="53">
        <f t="shared" si="120"/>
        <v>0</v>
      </c>
      <c r="R2455" s="53">
        <f t="shared" si="120"/>
        <v>0</v>
      </c>
      <c r="S2455" s="53">
        <f t="shared" si="120"/>
        <v>0</v>
      </c>
      <c r="T2455" s="53">
        <f t="shared" si="120"/>
        <v>0</v>
      </c>
      <c r="U2455" s="53">
        <f t="shared" si="120"/>
        <v>0</v>
      </c>
      <c r="W2455" s="160">
        <f t="shared" si="121"/>
        <v>0</v>
      </c>
      <c r="X2455" s="54">
        <f t="shared" si="122"/>
        <v>0</v>
      </c>
      <c r="Y2455" s="54">
        <f t="shared" si="123"/>
        <v>0</v>
      </c>
      <c r="Z2455" s="55" t="e">
        <f t="shared" si="124"/>
        <v>#DIV/0!</v>
      </c>
      <c r="AB2455" s="1"/>
    </row>
    <row r="2456" spans="7:28">
      <c r="G2456" s="8"/>
      <c r="L2456" s="20"/>
      <c r="M2456" s="117" t="s">
        <v>2508</v>
      </c>
      <c r="N2456" s="118" t="s">
        <v>424</v>
      </c>
      <c r="O2456" s="118" t="s">
        <v>49</v>
      </c>
      <c r="P2456" s="20"/>
      <c r="Q2456" s="53">
        <f t="shared" si="120"/>
        <v>0</v>
      </c>
      <c r="R2456" s="53">
        <f t="shared" si="120"/>
        <v>0</v>
      </c>
      <c r="S2456" s="53">
        <f t="shared" si="120"/>
        <v>0</v>
      </c>
      <c r="T2456" s="53">
        <f t="shared" si="120"/>
        <v>0</v>
      </c>
      <c r="U2456" s="53">
        <f t="shared" si="120"/>
        <v>0</v>
      </c>
      <c r="W2456" s="160">
        <f t="shared" si="121"/>
        <v>0</v>
      </c>
      <c r="X2456" s="54">
        <f t="shared" si="122"/>
        <v>0</v>
      </c>
      <c r="Y2456" s="54">
        <f t="shared" si="123"/>
        <v>0</v>
      </c>
      <c r="Z2456" s="55" t="e">
        <f t="shared" si="124"/>
        <v>#DIV/0!</v>
      </c>
      <c r="AB2456" s="1"/>
    </row>
    <row r="2457" spans="7:28">
      <c r="G2457" s="8"/>
      <c r="L2457" s="20"/>
      <c r="M2457" s="117" t="s">
        <v>436</v>
      </c>
      <c r="N2457" s="118" t="s">
        <v>68</v>
      </c>
      <c r="O2457" s="118" t="s">
        <v>49</v>
      </c>
      <c r="P2457" s="20"/>
      <c r="Q2457" s="53">
        <f t="shared" si="120"/>
        <v>0</v>
      </c>
      <c r="R2457" s="53">
        <f t="shared" si="120"/>
        <v>0</v>
      </c>
      <c r="S2457" s="53">
        <f t="shared" si="120"/>
        <v>0</v>
      </c>
      <c r="T2457" s="53">
        <f t="shared" si="120"/>
        <v>0</v>
      </c>
      <c r="U2457" s="53">
        <f t="shared" si="120"/>
        <v>0</v>
      </c>
      <c r="W2457" s="160">
        <f t="shared" si="121"/>
        <v>0</v>
      </c>
      <c r="X2457" s="54">
        <f t="shared" si="122"/>
        <v>0</v>
      </c>
      <c r="Y2457" s="54">
        <f t="shared" si="123"/>
        <v>0</v>
      </c>
      <c r="Z2457" s="55" t="e">
        <f t="shared" si="124"/>
        <v>#DIV/0!</v>
      </c>
      <c r="AB2457" s="1"/>
    </row>
    <row r="2458" spans="7:28" ht="13">
      <c r="G2458" s="9"/>
      <c r="H2458" s="10"/>
      <c r="I2458" s="10"/>
      <c r="J2458" s="10"/>
      <c r="K2458" s="10"/>
      <c r="L2458" s="148"/>
      <c r="M2458" s="148"/>
      <c r="N2458" s="148"/>
      <c r="O2458" s="149"/>
      <c r="P2458" s="148"/>
      <c r="Q2458" s="26">
        <f>SUM(Q2436:Q2457)</f>
        <v>118147962</v>
      </c>
      <c r="R2458" s="26">
        <f>SUM(R2436:R2457)</f>
        <v>112745048</v>
      </c>
      <c r="S2458" s="26">
        <f>SUM(S2436:S2457)</f>
        <v>149197979</v>
      </c>
      <c r="T2458" s="26">
        <f>SUM(T2436:T2457)</f>
        <v>143627940</v>
      </c>
      <c r="U2458" s="26">
        <f>SUM(U2436:U2457)</f>
        <v>16226979.991999999</v>
      </c>
      <c r="V2458" s="10"/>
      <c r="W2458" s="10"/>
      <c r="X2458" s="56"/>
      <c r="Y2458" s="56"/>
      <c r="Z2458" s="57"/>
      <c r="AB2458" s="1"/>
    </row>
    <row r="2459" spans="7:28">
      <c r="L2459" s="20"/>
      <c r="M2459" s="20"/>
      <c r="N2459" s="20"/>
      <c r="O2459" s="20"/>
      <c r="P2459" s="20"/>
      <c r="AB2459" s="1"/>
    </row>
    <row r="2460" spans="7:28">
      <c r="X2460" s="1"/>
      <c r="Y2460" s="1"/>
      <c r="Z2460" s="1"/>
    </row>
    <row r="2461" spans="7:28">
      <c r="G2461" s="4" t="s">
        <v>41</v>
      </c>
      <c r="H2461" s="5" t="s">
        <v>398</v>
      </c>
      <c r="I2461" s="5"/>
      <c r="J2461" s="5"/>
      <c r="K2461" s="5"/>
      <c r="L2461" s="5"/>
      <c r="M2461" s="6" t="s">
        <v>392</v>
      </c>
      <c r="N2461" s="7" t="s">
        <v>43</v>
      </c>
      <c r="O2461" s="7" t="s">
        <v>44</v>
      </c>
      <c r="P2461" s="5"/>
      <c r="Q2461" s="50">
        <f t="shared" ref="Q2461:U2463" si="125">SUMIFS(Q$7:Q$2428,$K$7:$K$2428, "&lt;4",$G$7:$G$2428,$G$2461,$N$7:$N$2428,$N2461)</f>
        <v>0</v>
      </c>
      <c r="R2461" s="50">
        <f t="shared" si="125"/>
        <v>0</v>
      </c>
      <c r="S2461" s="50">
        <f t="shared" si="125"/>
        <v>0</v>
      </c>
      <c r="T2461" s="50">
        <f t="shared" si="125"/>
        <v>0</v>
      </c>
      <c r="U2461" s="50">
        <f t="shared" si="125"/>
        <v>0</v>
      </c>
      <c r="V2461" s="5"/>
      <c r="W2461" s="159">
        <f t="shared" ref="W2461:W2473" si="126">SUMIFS(T$7:T$2428,$K$7:$K$2428, "&lt;4",$G$7:$G$2428,$G$2461,$N$7:$N$2428,$N2461, $W$7:$W$2428, "=x")</f>
        <v>0</v>
      </c>
      <c r="X2461" s="51">
        <f>SUMIFS(T$7:T$2428,U$7:U$2428, "&gt;0",$K$7:$K$2428, "&lt;4",$G$7:$G$2428,$G$2461,$N$7:$N$2428,$N2461)</f>
        <v>0</v>
      </c>
      <c r="Y2461" s="51">
        <f>SUMIFS(U$7:U$2428,U$7:U$2428, "&gt;0",$K$7:$K$2428, "&lt;4",$G$7:$G$2428,$G$2461,$N$7:$N$2428,$N2461)</f>
        <v>0</v>
      </c>
      <c r="Z2461" s="52" t="e">
        <f t="shared" ref="Z2461:Z2473" si="127">X2461/Y2461</f>
        <v>#DIV/0!</v>
      </c>
    </row>
    <row r="2462" spans="7:28">
      <c r="G2462" s="8"/>
      <c r="M2462" s="2" t="s">
        <v>393</v>
      </c>
      <c r="N2462" s="3" t="s">
        <v>48</v>
      </c>
      <c r="O2462" s="3" t="s">
        <v>44</v>
      </c>
      <c r="Q2462" s="53">
        <f t="shared" si="125"/>
        <v>157874</v>
      </c>
      <c r="R2462" s="53">
        <f t="shared" si="125"/>
        <v>157874</v>
      </c>
      <c r="S2462" s="53">
        <f t="shared" si="125"/>
        <v>2879622</v>
      </c>
      <c r="T2462" s="160">
        <f t="shared" si="125"/>
        <v>2879622</v>
      </c>
      <c r="U2462" s="53">
        <f t="shared" si="125"/>
        <v>244647.13</v>
      </c>
      <c r="W2462" s="160">
        <f t="shared" si="126"/>
        <v>2879622</v>
      </c>
      <c r="X2462" s="54">
        <f>SUMIFS(T$7:T$2428,U$7:U$2428, "&gt;0",$K$7:$K$2428, "&lt;4",$G$7:$G$2428,$G$2461,$N$7:$N$2428,$N2462)</f>
        <v>2879622</v>
      </c>
      <c r="Y2462" s="54">
        <f>SUMIFS(U$7:U$2428,U$7:U$2428, "&gt;0",$K$7:$K$2428, "&lt;4",$G$7:$G$2428,$G$2461,$N$7:$N$2428,$N2462)</f>
        <v>244647.13</v>
      </c>
      <c r="Z2462" s="55">
        <f t="shared" si="127"/>
        <v>11.770512084077994</v>
      </c>
    </row>
    <row r="2463" spans="7:28">
      <c r="G2463" s="8"/>
      <c r="M2463" s="2" t="s">
        <v>381</v>
      </c>
      <c r="N2463" s="3" t="s">
        <v>46</v>
      </c>
      <c r="O2463" s="3" t="s">
        <v>46</v>
      </c>
      <c r="Q2463" s="53">
        <f t="shared" si="125"/>
        <v>42556</v>
      </c>
      <c r="R2463" s="53">
        <f t="shared" si="125"/>
        <v>42196</v>
      </c>
      <c r="S2463" s="53">
        <f t="shared" si="125"/>
        <v>247606</v>
      </c>
      <c r="T2463" s="160">
        <f t="shared" si="125"/>
        <v>245539</v>
      </c>
      <c r="U2463" s="53">
        <f t="shared" si="125"/>
        <v>9612.8149999999987</v>
      </c>
      <c r="W2463" s="160">
        <f t="shared" si="126"/>
        <v>128543</v>
      </c>
      <c r="X2463" s="54">
        <f>SUMIFS(T$7:T$2428,U$7:U$2428, "&gt;0",$K$7:$K$2428, "&lt;4",$G$7:$G$2428,$G$2461,$N$7:$N$2428,$N2463)</f>
        <v>212046</v>
      </c>
      <c r="Y2463" s="54">
        <f>SUMIFS(U$7:U$2428,U$7:U$2428, "&gt;0",$K$7:$K$2428, "&lt;4",$G$7:$G$2428,$G$2461,$N$7:$N$2428,$N2463)</f>
        <v>19892.766</v>
      </c>
      <c r="Z2463" s="55">
        <f t="shared" si="127"/>
        <v>10.659452788013493</v>
      </c>
    </row>
    <row r="2464" spans="7:28">
      <c r="G2464" s="8"/>
      <c r="K2464" s="607"/>
      <c r="L2464" s="607"/>
      <c r="M2464" s="622" t="s">
        <v>3078</v>
      </c>
      <c r="N2464" s="3" t="s">
        <v>39</v>
      </c>
      <c r="O2464" s="3" t="s">
        <v>39</v>
      </c>
      <c r="Q2464" s="53">
        <f>SUMIFS(Q$7:Q$2428,$K$7:$K$2428, "&lt;4",$G$7:$G$2428,$G$2461,$N$7:$N$2428,$N2464)-Q2613</f>
        <v>160851453</v>
      </c>
      <c r="R2464" s="53">
        <f>SUMIFS(R$7:R$2428,$K$7:$K$2428, "&lt;4",$G$7:$G$2428,$G$2461,$N$7:$N$2428,$N2464)-R2613</f>
        <v>160086867</v>
      </c>
      <c r="S2464" s="53">
        <f>SUMIFS(S$7:S$2428,$K$7:$K$2428, "&lt;4",$G$7:$G$2428,$G$2461,$N$7:$N$2428,$N2464)-S2613</f>
        <v>165553939</v>
      </c>
      <c r="T2464" s="160">
        <f>SUMIFS(T$7:T$2428,$K$7:$K$2428, "&lt;4",$G$7:$G$2428,$G$2461,$N$7:$N$2428,$N2464)-T2613</f>
        <v>164767691</v>
      </c>
      <c r="U2464" s="53">
        <f>SUMIFS(U$7:U$2428,$K$7:$K$2428, "&lt;4",$G$7:$G$2428,$G$2461,$N$7:$N$2428,$N2464)-U2613</f>
        <v>23227805.266000003</v>
      </c>
      <c r="V2464" s="607"/>
      <c r="W2464" s="160">
        <f t="shared" si="126"/>
        <v>163951549</v>
      </c>
      <c r="X2464" s="623">
        <f>SUMIFS(T$7:T$2428,U$7:U$2428, "&gt;0",$K$7:$K$2428, "&lt;4",$G$7:$G$2428,$G$2461,$N$7:$N$2428,$N2464)-X2613</f>
        <v>164767691</v>
      </c>
      <c r="Y2464" s="623">
        <f>SUMIFS(U$7:U$2428,U$7:U$2428, "&gt;0",$K$7:$K$2428, "&lt;4",$G$7:$G$2428,$G$2461,$N$7:$N$2428,$N2464)-Y2613</f>
        <v>23227833.914000005</v>
      </c>
      <c r="Z2464" s="624">
        <f t="shared" si="127"/>
        <v>7.09354525308063</v>
      </c>
    </row>
    <row r="2465" spans="5:26">
      <c r="E2465" s="34">
        <f>T2465/(T2465+T2476)</f>
        <v>0.55000288468751612</v>
      </c>
      <c r="G2465" s="8"/>
      <c r="K2465" s="743"/>
      <c r="L2465" s="745"/>
      <c r="M2465" s="744" t="s">
        <v>394</v>
      </c>
      <c r="N2465" s="118" t="s">
        <v>17</v>
      </c>
      <c r="O2465" s="118" t="s">
        <v>82</v>
      </c>
      <c r="Q2465" s="53">
        <f t="shared" ref="Q2465:U2473" si="128">SUMIFS(Q$7:Q$2428,$K$7:$K$2428, "&lt;4",$G$7:$G$2428,$G$2461,$N$7:$N$2428,$N2465)</f>
        <v>734260</v>
      </c>
      <c r="R2465" s="53">
        <f t="shared" si="128"/>
        <v>734260</v>
      </c>
      <c r="S2465" s="53">
        <f t="shared" si="128"/>
        <v>11048915</v>
      </c>
      <c r="T2465" s="742">
        <f t="shared" si="128"/>
        <v>11048915</v>
      </c>
      <c r="U2465" s="53">
        <f t="shared" si="128"/>
        <v>571201.81099999999</v>
      </c>
      <c r="W2465" s="160">
        <f t="shared" si="126"/>
        <v>0</v>
      </c>
      <c r="X2465" s="54">
        <f t="shared" ref="X2465:X2473" si="129">SUMIFS(T$7:T$2428,U$7:U$2428, "&gt;0",$K$7:$K$2428, "&lt;4",$G$7:$G$2428,$G$2461,$N$7:$N$2428,$N2465)</f>
        <v>11048915</v>
      </c>
      <c r="Y2465" s="54">
        <f t="shared" ref="Y2465:Y2473" si="130">SUMIFS(U$7:U$2428,U$7:U$2428, "&gt;0",$K$7:$K$2428, "&lt;4",$G$7:$G$2428,$G$2461,$N$7:$N$2428,$N2465)</f>
        <v>571201.81099999999</v>
      </c>
      <c r="Z2465" s="55">
        <f t="shared" si="127"/>
        <v>19.343277257221441</v>
      </c>
    </row>
    <row r="2466" spans="5:26">
      <c r="E2466" s="34">
        <f>T2476/(T2465+T2476)</f>
        <v>0.44999711531248382</v>
      </c>
      <c r="G2466" s="8"/>
      <c r="L2466" s="20"/>
      <c r="M2466" s="117" t="s">
        <v>395</v>
      </c>
      <c r="N2466" s="118" t="s">
        <v>82</v>
      </c>
      <c r="O2466" s="118" t="s">
        <v>82</v>
      </c>
      <c r="Q2466" s="53">
        <f t="shared" si="128"/>
        <v>0</v>
      </c>
      <c r="R2466" s="53">
        <f t="shared" si="128"/>
        <v>0</v>
      </c>
      <c r="S2466" s="53">
        <f t="shared" si="128"/>
        <v>0</v>
      </c>
      <c r="T2466" s="53">
        <f t="shared" si="128"/>
        <v>0</v>
      </c>
      <c r="U2466" s="53">
        <f t="shared" si="128"/>
        <v>0</v>
      </c>
      <c r="W2466" s="160">
        <f t="shared" si="126"/>
        <v>0</v>
      </c>
      <c r="X2466" s="54">
        <f t="shared" si="129"/>
        <v>0</v>
      </c>
      <c r="Y2466" s="54">
        <f t="shared" si="130"/>
        <v>0</v>
      </c>
      <c r="Z2466" s="55" t="e">
        <f t="shared" si="127"/>
        <v>#DIV/0!</v>
      </c>
    </row>
    <row r="2467" spans="5:26">
      <c r="G2467" s="8"/>
      <c r="L2467" s="20"/>
      <c r="M2467" s="117" t="s">
        <v>390</v>
      </c>
      <c r="N2467" s="118" t="s">
        <v>402</v>
      </c>
      <c r="O2467" s="118" t="s">
        <v>82</v>
      </c>
      <c r="Q2467" s="53">
        <f t="shared" si="128"/>
        <v>0</v>
      </c>
      <c r="R2467" s="53">
        <f t="shared" si="128"/>
        <v>0</v>
      </c>
      <c r="S2467" s="53">
        <f t="shared" si="128"/>
        <v>0</v>
      </c>
      <c r="T2467" s="53">
        <f t="shared" si="128"/>
        <v>0</v>
      </c>
      <c r="U2467" s="53">
        <f t="shared" si="128"/>
        <v>0</v>
      </c>
      <c r="W2467" s="160">
        <f t="shared" si="126"/>
        <v>0</v>
      </c>
      <c r="X2467" s="54">
        <f t="shared" si="129"/>
        <v>0</v>
      </c>
      <c r="Y2467" s="54">
        <f t="shared" si="130"/>
        <v>0</v>
      </c>
      <c r="Z2467" s="55" t="e">
        <f t="shared" si="127"/>
        <v>#DIV/0!</v>
      </c>
    </row>
    <row r="2468" spans="5:26">
      <c r="G2468" s="8"/>
      <c r="L2468" s="20"/>
      <c r="M2468" s="117" t="s">
        <v>383</v>
      </c>
      <c r="N2468" s="118" t="s">
        <v>65</v>
      </c>
      <c r="O2468" s="118" t="s">
        <v>65</v>
      </c>
      <c r="Q2468" s="53">
        <f t="shared" si="128"/>
        <v>0</v>
      </c>
      <c r="R2468" s="53">
        <f t="shared" si="128"/>
        <v>0</v>
      </c>
      <c r="S2468" s="53">
        <f t="shared" si="128"/>
        <v>0</v>
      </c>
      <c r="T2468" s="53">
        <f t="shared" si="128"/>
        <v>0</v>
      </c>
      <c r="U2468" s="53">
        <f t="shared" si="128"/>
        <v>0</v>
      </c>
      <c r="W2468" s="160">
        <f t="shared" si="126"/>
        <v>0</v>
      </c>
      <c r="X2468" s="54">
        <f t="shared" si="129"/>
        <v>0</v>
      </c>
      <c r="Y2468" s="54">
        <f t="shared" si="130"/>
        <v>0</v>
      </c>
      <c r="Z2468" s="55" t="e">
        <f t="shared" si="127"/>
        <v>#DIV/0!</v>
      </c>
    </row>
    <row r="2469" spans="5:26">
      <c r="G2469" s="8"/>
      <c r="L2469" s="20"/>
      <c r="M2469" s="117" t="s">
        <v>382</v>
      </c>
      <c r="N2469" s="118" t="s">
        <v>61</v>
      </c>
      <c r="O2469" s="118" t="s">
        <v>61</v>
      </c>
      <c r="Q2469" s="53">
        <f t="shared" si="128"/>
        <v>66374</v>
      </c>
      <c r="R2469" s="53">
        <f t="shared" si="128"/>
        <v>66374</v>
      </c>
      <c r="S2469" s="53">
        <f t="shared" si="128"/>
        <v>416369</v>
      </c>
      <c r="T2469" s="160">
        <f t="shared" si="128"/>
        <v>416369</v>
      </c>
      <c r="U2469" s="53">
        <f t="shared" si="128"/>
        <v>24832.006000000001</v>
      </c>
      <c r="W2469" s="160">
        <f t="shared" si="126"/>
        <v>416369</v>
      </c>
      <c r="X2469" s="54">
        <f t="shared" si="129"/>
        <v>416369</v>
      </c>
      <c r="Y2469" s="54">
        <f t="shared" si="130"/>
        <v>24832.006000000001</v>
      </c>
      <c r="Z2469" s="55">
        <f t="shared" si="127"/>
        <v>16.76743312642563</v>
      </c>
    </row>
    <row r="2470" spans="5:26">
      <c r="G2470" s="8"/>
      <c r="L2470" s="20"/>
      <c r="M2470" s="117" t="s">
        <v>384</v>
      </c>
      <c r="N2470" s="118" t="s">
        <v>66</v>
      </c>
      <c r="O2470" s="118" t="s">
        <v>67</v>
      </c>
      <c r="Q2470" s="53">
        <f t="shared" si="128"/>
        <v>529</v>
      </c>
      <c r="R2470" s="53">
        <f t="shared" si="128"/>
        <v>529</v>
      </c>
      <c r="S2470" s="53">
        <f t="shared" si="128"/>
        <v>3174</v>
      </c>
      <c r="T2470" s="53">
        <f t="shared" si="128"/>
        <v>3174</v>
      </c>
      <c r="U2470" s="53">
        <f t="shared" si="128"/>
        <v>211</v>
      </c>
      <c r="W2470" s="160">
        <f t="shared" si="126"/>
        <v>0</v>
      </c>
      <c r="X2470" s="54">
        <f t="shared" si="129"/>
        <v>3174</v>
      </c>
      <c r="Y2470" s="54">
        <f t="shared" si="130"/>
        <v>211</v>
      </c>
      <c r="Z2470" s="55">
        <f t="shared" si="127"/>
        <v>15.042654028436019</v>
      </c>
    </row>
    <row r="2471" spans="5:26">
      <c r="G2471" s="8"/>
      <c r="L2471" s="20"/>
      <c r="M2471" s="117" t="s">
        <v>385</v>
      </c>
      <c r="N2471" s="118" t="s">
        <v>76</v>
      </c>
      <c r="O2471" s="118" t="s">
        <v>67</v>
      </c>
      <c r="Q2471" s="53">
        <f t="shared" si="128"/>
        <v>41730</v>
      </c>
      <c r="R2471" s="53">
        <f t="shared" si="128"/>
        <v>41730</v>
      </c>
      <c r="S2471" s="53">
        <f t="shared" si="128"/>
        <v>238556</v>
      </c>
      <c r="T2471" s="160">
        <f t="shared" si="128"/>
        <v>238556</v>
      </c>
      <c r="U2471" s="53">
        <f t="shared" si="128"/>
        <v>6926.91</v>
      </c>
      <c r="W2471" s="160">
        <f t="shared" si="126"/>
        <v>88996</v>
      </c>
      <c r="X2471" s="54">
        <f t="shared" si="129"/>
        <v>215857</v>
      </c>
      <c r="Y2471" s="54">
        <f t="shared" si="130"/>
        <v>8116.91</v>
      </c>
      <c r="Z2471" s="55">
        <f t="shared" si="127"/>
        <v>26.593494322346803</v>
      </c>
    </row>
    <row r="2472" spans="5:26">
      <c r="G2472" s="8"/>
      <c r="L2472" s="20"/>
      <c r="M2472" s="117" t="s">
        <v>386</v>
      </c>
      <c r="N2472" s="118" t="s">
        <v>73</v>
      </c>
      <c r="O2472" s="118" t="s">
        <v>67</v>
      </c>
      <c r="Q2472" s="53">
        <f t="shared" si="128"/>
        <v>0</v>
      </c>
      <c r="R2472" s="53">
        <f t="shared" si="128"/>
        <v>0</v>
      </c>
      <c r="S2472" s="53">
        <f t="shared" si="128"/>
        <v>0</v>
      </c>
      <c r="T2472" s="53">
        <f t="shared" si="128"/>
        <v>0</v>
      </c>
      <c r="U2472" s="53">
        <f t="shared" si="128"/>
        <v>0</v>
      </c>
      <c r="W2472" s="160">
        <f t="shared" si="126"/>
        <v>0</v>
      </c>
      <c r="X2472" s="54">
        <f t="shared" si="129"/>
        <v>0</v>
      </c>
      <c r="Y2472" s="54">
        <f t="shared" si="130"/>
        <v>0</v>
      </c>
      <c r="Z2472" s="55" t="e">
        <f t="shared" si="127"/>
        <v>#DIV/0!</v>
      </c>
    </row>
    <row r="2473" spans="5:26">
      <c r="G2473" s="8"/>
      <c r="L2473" s="20"/>
      <c r="M2473" s="117" t="s">
        <v>435</v>
      </c>
      <c r="N2473" s="118" t="s">
        <v>426</v>
      </c>
      <c r="O2473" s="118" t="s">
        <v>427</v>
      </c>
      <c r="Q2473" s="53">
        <f t="shared" si="128"/>
        <v>0</v>
      </c>
      <c r="R2473" s="53">
        <f t="shared" si="128"/>
        <v>0</v>
      </c>
      <c r="S2473" s="53">
        <f t="shared" si="128"/>
        <v>0</v>
      </c>
      <c r="T2473" s="53">
        <f t="shared" si="128"/>
        <v>0</v>
      </c>
      <c r="U2473" s="53">
        <f t="shared" si="128"/>
        <v>0</v>
      </c>
      <c r="W2473" s="160">
        <f t="shared" si="126"/>
        <v>0</v>
      </c>
      <c r="X2473" s="54">
        <f t="shared" si="129"/>
        <v>0</v>
      </c>
      <c r="Y2473" s="54">
        <f t="shared" si="130"/>
        <v>0</v>
      </c>
      <c r="Z2473" s="55" t="e">
        <f t="shared" si="127"/>
        <v>#DIV/0!</v>
      </c>
    </row>
    <row r="2474" spans="5:26">
      <c r="G2474" s="8"/>
      <c r="L2474" s="20"/>
      <c r="M2474" s="20"/>
      <c r="N2474" s="20"/>
      <c r="O2474" s="20"/>
      <c r="Q2474"/>
      <c r="R2474"/>
      <c r="S2474"/>
      <c r="T2474"/>
      <c r="U2474"/>
      <c r="Z2474" s="58"/>
    </row>
    <row r="2475" spans="5:26">
      <c r="G2475" s="8"/>
      <c r="H2475" t="s">
        <v>397</v>
      </c>
      <c r="L2475" s="20"/>
      <c r="M2475" s="117" t="s">
        <v>388</v>
      </c>
      <c r="N2475" s="118" t="s">
        <v>63</v>
      </c>
      <c r="O2475" s="118" t="s">
        <v>64</v>
      </c>
      <c r="Q2475" s="53">
        <f t="shared" ref="Q2475:U2482" si="131">SUMIFS(Q$7:Q$2428,$K$7:$K$2428, "&lt;4",$G$7:$G$2428,$G$2461,$N$7:$N$2428,$N2475)</f>
        <v>141986</v>
      </c>
      <c r="R2475" s="53">
        <f t="shared" si="131"/>
        <v>141986</v>
      </c>
      <c r="S2475" s="53">
        <f t="shared" si="131"/>
        <v>70995</v>
      </c>
      <c r="T2475" s="53">
        <f t="shared" si="131"/>
        <v>70995</v>
      </c>
      <c r="U2475" s="53">
        <f t="shared" si="131"/>
        <v>6131</v>
      </c>
      <c r="W2475" s="160">
        <f t="shared" ref="W2475:W2482" si="132">SUMIFS(T$7:T$2428,$K$7:$K$2428, "&lt;4",$G$7:$G$2428,$G$2461,$N$7:$N$2428,$N2475, $W$7:$W$2428, "=x")</f>
        <v>0</v>
      </c>
      <c r="X2475" s="54">
        <f t="shared" ref="X2475:X2482" si="133">SUMIFS(T$7:T$2428,U$7:U$2428, "&gt;0",$K$7:$K$2428, "&lt;4",$G$7:$G$2428,$G$2461,$N$7:$N$2428,$N2475)</f>
        <v>70995</v>
      </c>
      <c r="Y2475" s="54">
        <f t="shared" ref="Y2475:Y2482" si="134">SUMIFS(U$7:U$2428,U$7:U$2428, "&gt;0",$K$7:$K$2428, "&lt;4",$G$7:$G$2428,$G$2461,$N$7:$N$2428,$N2475)</f>
        <v>6131</v>
      </c>
      <c r="Z2475" s="55">
        <f t="shared" ref="Z2475:Z2482" si="135">X2475/Y2475</f>
        <v>11.57967705105203</v>
      </c>
    </row>
    <row r="2476" spans="5:26">
      <c r="G2476" s="8"/>
      <c r="K2476" s="743"/>
      <c r="L2476" s="745"/>
      <c r="M2476" s="744" t="s">
        <v>391</v>
      </c>
      <c r="N2476" s="118" t="s">
        <v>16</v>
      </c>
      <c r="O2476" s="118" t="s">
        <v>64</v>
      </c>
      <c r="Q2476" s="53">
        <f t="shared" si="131"/>
        <v>1148439</v>
      </c>
      <c r="R2476" s="53">
        <f t="shared" si="131"/>
        <v>1148439</v>
      </c>
      <c r="S2476" s="53">
        <f t="shared" si="131"/>
        <v>9039916</v>
      </c>
      <c r="T2476" s="742">
        <f t="shared" si="131"/>
        <v>9039916</v>
      </c>
      <c r="U2476" s="53">
        <f t="shared" si="131"/>
        <v>467340.92599999998</v>
      </c>
      <c r="W2476" s="160">
        <f t="shared" si="132"/>
        <v>0</v>
      </c>
      <c r="X2476" s="54">
        <f t="shared" si="133"/>
        <v>9039916</v>
      </c>
      <c r="Y2476" s="54">
        <f t="shared" si="134"/>
        <v>467340.92599999998</v>
      </c>
      <c r="Z2476" s="55">
        <f t="shared" si="135"/>
        <v>19.343300569400594</v>
      </c>
    </row>
    <row r="2477" spans="5:26">
      <c r="G2477" s="8"/>
      <c r="L2477" s="20"/>
      <c r="M2477" s="117" t="s">
        <v>387</v>
      </c>
      <c r="N2477" s="118" t="s">
        <v>154</v>
      </c>
      <c r="O2477" s="118" t="s">
        <v>70</v>
      </c>
      <c r="Q2477" s="53">
        <f t="shared" si="131"/>
        <v>0</v>
      </c>
      <c r="R2477" s="53">
        <f t="shared" si="131"/>
        <v>0</v>
      </c>
      <c r="S2477" s="53">
        <f t="shared" si="131"/>
        <v>0</v>
      </c>
      <c r="T2477" s="53">
        <f t="shared" si="131"/>
        <v>0</v>
      </c>
      <c r="U2477" s="53">
        <f t="shared" si="131"/>
        <v>0</v>
      </c>
      <c r="W2477" s="160">
        <f t="shared" si="132"/>
        <v>0</v>
      </c>
      <c r="X2477" s="54">
        <f t="shared" si="133"/>
        <v>0</v>
      </c>
      <c r="Y2477" s="54">
        <f t="shared" si="134"/>
        <v>0</v>
      </c>
      <c r="Z2477" s="55" t="e">
        <f t="shared" si="135"/>
        <v>#DIV/0!</v>
      </c>
    </row>
    <row r="2478" spans="5:26">
      <c r="G2478" s="8"/>
      <c r="L2478" s="20"/>
      <c r="M2478" s="117" t="s">
        <v>396</v>
      </c>
      <c r="N2478" s="118" t="s">
        <v>69</v>
      </c>
      <c r="O2478" s="118" t="s">
        <v>70</v>
      </c>
      <c r="Q2478" s="53">
        <f t="shared" si="131"/>
        <v>366047</v>
      </c>
      <c r="R2478" s="53">
        <f t="shared" si="131"/>
        <v>366047</v>
      </c>
      <c r="S2478" s="53">
        <f t="shared" si="131"/>
        <v>3367631</v>
      </c>
      <c r="T2478" s="53">
        <f t="shared" si="131"/>
        <v>3367631</v>
      </c>
      <c r="U2478" s="53">
        <f t="shared" si="131"/>
        <v>282855.18</v>
      </c>
      <c r="W2478" s="160">
        <f t="shared" si="132"/>
        <v>0</v>
      </c>
      <c r="X2478" s="54">
        <f t="shared" si="133"/>
        <v>3367631</v>
      </c>
      <c r="Y2478" s="54">
        <f t="shared" si="134"/>
        <v>282855.18</v>
      </c>
      <c r="Z2478" s="55">
        <f t="shared" si="135"/>
        <v>11.905848780991036</v>
      </c>
    </row>
    <row r="2479" spans="5:26">
      <c r="G2479" s="8"/>
      <c r="L2479" s="20"/>
      <c r="M2479" s="117" t="s">
        <v>389</v>
      </c>
      <c r="N2479" s="118" t="s">
        <v>155</v>
      </c>
      <c r="O2479" s="118" t="s">
        <v>49</v>
      </c>
      <c r="Q2479" s="53">
        <f t="shared" si="131"/>
        <v>0</v>
      </c>
      <c r="R2479" s="53">
        <f t="shared" si="131"/>
        <v>0</v>
      </c>
      <c r="S2479" s="53">
        <f t="shared" si="131"/>
        <v>0</v>
      </c>
      <c r="T2479" s="53">
        <f t="shared" si="131"/>
        <v>0</v>
      </c>
      <c r="U2479" s="53">
        <f t="shared" si="131"/>
        <v>0</v>
      </c>
      <c r="W2479" s="160">
        <f t="shared" si="132"/>
        <v>0</v>
      </c>
      <c r="X2479" s="54">
        <f t="shared" si="133"/>
        <v>0</v>
      </c>
      <c r="Y2479" s="54">
        <f t="shared" si="134"/>
        <v>0</v>
      </c>
      <c r="Z2479" s="55" t="e">
        <f t="shared" si="135"/>
        <v>#DIV/0!</v>
      </c>
    </row>
    <row r="2480" spans="5:26">
      <c r="G2480" s="8"/>
      <c r="L2480" s="20"/>
      <c r="M2480" s="117" t="s">
        <v>437</v>
      </c>
      <c r="N2480" s="118" t="s">
        <v>419</v>
      </c>
      <c r="O2480" s="118" t="s">
        <v>49</v>
      </c>
      <c r="Q2480" s="53">
        <f t="shared" si="131"/>
        <v>0</v>
      </c>
      <c r="R2480" s="53">
        <f t="shared" si="131"/>
        <v>0</v>
      </c>
      <c r="S2480" s="53">
        <f t="shared" si="131"/>
        <v>0</v>
      </c>
      <c r="T2480" s="53">
        <f t="shared" si="131"/>
        <v>0</v>
      </c>
      <c r="U2480" s="53">
        <f t="shared" si="131"/>
        <v>0</v>
      </c>
      <c r="W2480" s="160">
        <f t="shared" si="132"/>
        <v>0</v>
      </c>
      <c r="X2480" s="54">
        <f t="shared" si="133"/>
        <v>0</v>
      </c>
      <c r="Y2480" s="54">
        <f t="shared" si="134"/>
        <v>0</v>
      </c>
      <c r="Z2480" s="55" t="e">
        <f t="shared" si="135"/>
        <v>#DIV/0!</v>
      </c>
    </row>
    <row r="2481" spans="5:26">
      <c r="G2481" s="8"/>
      <c r="L2481" s="20"/>
      <c r="M2481" s="117" t="s">
        <v>2508</v>
      </c>
      <c r="N2481" s="118" t="s">
        <v>424</v>
      </c>
      <c r="O2481" s="118" t="s">
        <v>49</v>
      </c>
      <c r="Q2481" s="53">
        <f t="shared" si="131"/>
        <v>1206</v>
      </c>
      <c r="R2481" s="53">
        <f t="shared" si="131"/>
        <v>1206</v>
      </c>
      <c r="S2481" s="53">
        <f t="shared" si="131"/>
        <v>6151</v>
      </c>
      <c r="T2481" s="53">
        <f t="shared" si="131"/>
        <v>6151</v>
      </c>
      <c r="U2481" s="53">
        <f t="shared" si="131"/>
        <v>526.82100000000003</v>
      </c>
      <c r="W2481" s="160">
        <f t="shared" si="132"/>
        <v>0</v>
      </c>
      <c r="X2481" s="54">
        <f t="shared" si="133"/>
        <v>6151</v>
      </c>
      <c r="Y2481" s="54">
        <f t="shared" si="134"/>
        <v>526.82100000000003</v>
      </c>
      <c r="Z2481" s="55">
        <f t="shared" si="135"/>
        <v>11.675692502766594</v>
      </c>
    </row>
    <row r="2482" spans="5:26">
      <c r="G2482" s="8"/>
      <c r="L2482" s="20"/>
      <c r="M2482" s="117" t="s">
        <v>436</v>
      </c>
      <c r="N2482" s="118" t="s">
        <v>68</v>
      </c>
      <c r="O2482" s="118" t="s">
        <v>49</v>
      </c>
      <c r="Q2482" s="53">
        <f t="shared" si="131"/>
        <v>0</v>
      </c>
      <c r="R2482" s="53">
        <f t="shared" si="131"/>
        <v>0</v>
      </c>
      <c r="S2482" s="53">
        <f t="shared" si="131"/>
        <v>0</v>
      </c>
      <c r="T2482" s="53">
        <f t="shared" si="131"/>
        <v>0</v>
      </c>
      <c r="U2482" s="53">
        <f t="shared" si="131"/>
        <v>0</v>
      </c>
      <c r="W2482" s="160">
        <f t="shared" si="132"/>
        <v>0</v>
      </c>
      <c r="X2482" s="54">
        <f t="shared" si="133"/>
        <v>0</v>
      </c>
      <c r="Y2482" s="54">
        <f t="shared" si="134"/>
        <v>0</v>
      </c>
      <c r="Z2482" s="55" t="e">
        <f t="shared" si="135"/>
        <v>#DIV/0!</v>
      </c>
    </row>
    <row r="2483" spans="5:26" ht="13">
      <c r="G2483" s="9"/>
      <c r="H2483" s="10"/>
      <c r="I2483" s="10"/>
      <c r="J2483" s="10"/>
      <c r="K2483" s="10"/>
      <c r="L2483" s="148"/>
      <c r="M2483" s="148"/>
      <c r="N2483" s="148"/>
      <c r="O2483" s="149"/>
      <c r="P2483" s="10"/>
      <c r="Q2483" s="26">
        <f>SUM(Q2461:Q2482)</f>
        <v>163552454</v>
      </c>
      <c r="R2483" s="26">
        <f>SUM(R2461:R2482)</f>
        <v>162787508</v>
      </c>
      <c r="S2483" s="26">
        <f>SUM(S2461:S2482)</f>
        <v>192872874</v>
      </c>
      <c r="T2483" s="26">
        <f>SUM(T2461:T2482)</f>
        <v>192084559</v>
      </c>
      <c r="U2483" s="26">
        <f>SUM(U2461:U2482)</f>
        <v>24842090.865000002</v>
      </c>
      <c r="V2483" s="10"/>
      <c r="W2483" s="10"/>
      <c r="X2483" s="56"/>
      <c r="Y2483" s="56"/>
      <c r="Z2483" s="57"/>
    </row>
    <row r="2484" spans="5:26">
      <c r="L2484" s="20"/>
      <c r="M2484" s="20"/>
      <c r="N2484" s="20"/>
      <c r="O2484" s="20"/>
    </row>
    <row r="2485" spans="5:26">
      <c r="L2485" s="20"/>
      <c r="M2485" s="20"/>
      <c r="N2485" s="20"/>
      <c r="O2485" s="20"/>
      <c r="X2485" s="1"/>
      <c r="Y2485" s="1"/>
      <c r="Z2485" s="1"/>
    </row>
    <row r="2486" spans="5:26">
      <c r="G2486" s="4" t="s">
        <v>90</v>
      </c>
      <c r="H2486" s="5" t="s">
        <v>398</v>
      </c>
      <c r="I2486" s="5"/>
      <c r="J2486" s="5"/>
      <c r="K2486" s="5"/>
      <c r="L2486" s="150"/>
      <c r="M2486" s="151" t="s">
        <v>392</v>
      </c>
      <c r="N2486" s="152" t="s">
        <v>43</v>
      </c>
      <c r="O2486" s="152" t="s">
        <v>44</v>
      </c>
      <c r="P2486" s="5"/>
      <c r="Q2486" s="50">
        <f t="shared" ref="Q2486:U2498" si="136">SUMIFS(Q$7:Q$2428,$K$7:$K$2428, "&lt;4",$G$7:$G$2428,$G$2486,$N$7:$N$2428,$N2486)</f>
        <v>68815</v>
      </c>
      <c r="R2486" s="50">
        <f t="shared" si="136"/>
        <v>12391</v>
      </c>
      <c r="S2486" s="50">
        <f t="shared" si="136"/>
        <v>1587500</v>
      </c>
      <c r="T2486" s="50">
        <f t="shared" si="136"/>
        <v>284935</v>
      </c>
      <c r="U2486" s="50">
        <f t="shared" si="136"/>
        <v>49996.237000000001</v>
      </c>
      <c r="V2486" s="5"/>
      <c r="W2486" s="159">
        <f t="shared" ref="W2486:W2498" si="137">SUMIFS(T$7:T$2428,$K$7:$K$2428, "&lt;4",$G$7:$G$2428,$G$2486,$N$7:$N$2428,$N2486, $W$7:$W$2428, "=x")</f>
        <v>0</v>
      </c>
      <c r="X2486" s="51">
        <f t="shared" ref="X2486:X2498" si="138">SUMIFS(T$7:T$2428,U$7:U$2428, "&gt;0",$K$7:$K$2428, "&lt;4",$G$7:$G$2428,$G$2486,$N$7:$N$2428,$N2486)</f>
        <v>284935</v>
      </c>
      <c r="Y2486" s="51">
        <f t="shared" ref="Y2486:Y2498" si="139">SUMIFS(U$7:U$2428,U$7:U$2428, "&gt;0",$K$7:$K$2428, "&lt;4",$G$7:$G$2428,$G$2486,$N$7:$N$2428,$N2486)</f>
        <v>49996.237000000001</v>
      </c>
      <c r="Z2486" s="52">
        <f t="shared" ref="Z2486:Z2498" si="140">X2486/Y2486</f>
        <v>5.6991289164422509</v>
      </c>
    </row>
    <row r="2487" spans="5:26">
      <c r="G2487" s="8"/>
      <c r="L2487" s="20"/>
      <c r="M2487" s="117" t="s">
        <v>393</v>
      </c>
      <c r="N2487" s="118" t="s">
        <v>48</v>
      </c>
      <c r="O2487" s="118" t="s">
        <v>44</v>
      </c>
      <c r="Q2487" s="53">
        <f t="shared" si="136"/>
        <v>0</v>
      </c>
      <c r="R2487" s="53">
        <f t="shared" si="136"/>
        <v>0</v>
      </c>
      <c r="S2487" s="53">
        <f t="shared" si="136"/>
        <v>0</v>
      </c>
      <c r="T2487" s="53">
        <f t="shared" si="136"/>
        <v>0</v>
      </c>
      <c r="U2487" s="53">
        <f t="shared" si="136"/>
        <v>0</v>
      </c>
      <c r="W2487" s="160">
        <f t="shared" si="137"/>
        <v>0</v>
      </c>
      <c r="X2487" s="54">
        <f t="shared" si="138"/>
        <v>0</v>
      </c>
      <c r="Y2487" s="54">
        <f t="shared" si="139"/>
        <v>0</v>
      </c>
      <c r="Z2487" s="55" t="e">
        <f t="shared" si="140"/>
        <v>#DIV/0!</v>
      </c>
    </row>
    <row r="2488" spans="5:26">
      <c r="G2488" s="8"/>
      <c r="L2488" s="20"/>
      <c r="M2488" s="117" t="s">
        <v>381</v>
      </c>
      <c r="N2488" s="118" t="s">
        <v>46</v>
      </c>
      <c r="O2488" s="118" t="s">
        <v>46</v>
      </c>
      <c r="P2488" s="20"/>
      <c r="Q2488" s="53">
        <f t="shared" si="136"/>
        <v>4734</v>
      </c>
      <c r="R2488" s="53">
        <f t="shared" si="136"/>
        <v>4734</v>
      </c>
      <c r="S2488" s="53">
        <f t="shared" si="136"/>
        <v>27329</v>
      </c>
      <c r="T2488" s="160">
        <f t="shared" si="136"/>
        <v>27329</v>
      </c>
      <c r="U2488" s="53">
        <f t="shared" si="136"/>
        <v>949.673</v>
      </c>
      <c r="W2488" s="160">
        <f t="shared" si="137"/>
        <v>22244</v>
      </c>
      <c r="X2488" s="54">
        <f t="shared" si="138"/>
        <v>27329</v>
      </c>
      <c r="Y2488" s="54">
        <f t="shared" si="139"/>
        <v>949.673</v>
      </c>
      <c r="Z2488" s="55">
        <f t="shared" si="140"/>
        <v>28.777273861634477</v>
      </c>
    </row>
    <row r="2489" spans="5:26">
      <c r="G2489" s="8"/>
      <c r="L2489" s="20"/>
      <c r="M2489" s="117" t="s">
        <v>380</v>
      </c>
      <c r="N2489" s="118" t="s">
        <v>39</v>
      </c>
      <c r="O2489" s="118" t="s">
        <v>39</v>
      </c>
      <c r="P2489" s="20"/>
      <c r="Q2489" s="53">
        <f t="shared" si="136"/>
        <v>19309205</v>
      </c>
      <c r="R2489" s="53">
        <f t="shared" si="136"/>
        <v>19309205</v>
      </c>
      <c r="S2489" s="53">
        <f t="shared" si="136"/>
        <v>20094638</v>
      </c>
      <c r="T2489" s="160">
        <f t="shared" si="136"/>
        <v>20094638</v>
      </c>
      <c r="U2489" s="53">
        <f t="shared" si="136"/>
        <v>2741135.9249999998</v>
      </c>
      <c r="W2489" s="160">
        <f t="shared" si="137"/>
        <v>20083222</v>
      </c>
      <c r="X2489" s="54">
        <f t="shared" si="138"/>
        <v>20094638</v>
      </c>
      <c r="Y2489" s="54">
        <f t="shared" si="139"/>
        <v>2741135.9249999998</v>
      </c>
      <c r="Z2489" s="55">
        <f t="shared" si="140"/>
        <v>7.3307703630202141</v>
      </c>
    </row>
    <row r="2490" spans="5:26">
      <c r="E2490" s="34">
        <f>T2490/(T2490+T2501)</f>
        <v>0.54999972637374062</v>
      </c>
      <c r="G2490" s="8"/>
      <c r="L2490" s="20"/>
      <c r="M2490" s="117" t="s">
        <v>394</v>
      </c>
      <c r="N2490" s="118" t="s">
        <v>17</v>
      </c>
      <c r="O2490" s="118" t="s">
        <v>82</v>
      </c>
      <c r="P2490" s="20"/>
      <c r="Q2490" s="53">
        <f t="shared" si="136"/>
        <v>71264</v>
      </c>
      <c r="R2490" s="53">
        <f t="shared" si="136"/>
        <v>71264</v>
      </c>
      <c r="S2490" s="53">
        <f t="shared" si="136"/>
        <v>1005020</v>
      </c>
      <c r="T2490" s="53">
        <f t="shared" si="136"/>
        <v>1005020</v>
      </c>
      <c r="U2490" s="53">
        <f t="shared" si="136"/>
        <v>48187.711000000003</v>
      </c>
      <c r="W2490" s="160">
        <f t="shared" si="137"/>
        <v>0</v>
      </c>
      <c r="X2490" s="54">
        <f t="shared" si="138"/>
        <v>1005020</v>
      </c>
      <c r="Y2490" s="54">
        <f t="shared" si="139"/>
        <v>48187.711000000003</v>
      </c>
      <c r="Z2490" s="55">
        <f t="shared" si="140"/>
        <v>20.856354849476041</v>
      </c>
    </row>
    <row r="2491" spans="5:26">
      <c r="E2491" s="34">
        <f>T2501/(T2490+T2501)</f>
        <v>0.45000027362625938</v>
      </c>
      <c r="G2491" s="8"/>
      <c r="L2491" s="20"/>
      <c r="M2491" s="117" t="s">
        <v>395</v>
      </c>
      <c r="N2491" s="118" t="s">
        <v>82</v>
      </c>
      <c r="O2491" s="118" t="s">
        <v>82</v>
      </c>
      <c r="P2491" s="20"/>
      <c r="Q2491" s="53">
        <f t="shared" si="136"/>
        <v>0</v>
      </c>
      <c r="R2491" s="53">
        <f t="shared" si="136"/>
        <v>0</v>
      </c>
      <c r="S2491" s="53">
        <f t="shared" si="136"/>
        <v>0</v>
      </c>
      <c r="T2491" s="53">
        <f t="shared" si="136"/>
        <v>0</v>
      </c>
      <c r="U2491" s="53">
        <f t="shared" si="136"/>
        <v>0</v>
      </c>
      <c r="W2491" s="160">
        <f t="shared" si="137"/>
        <v>0</v>
      </c>
      <c r="X2491" s="54">
        <f t="shared" si="138"/>
        <v>0</v>
      </c>
      <c r="Y2491" s="54">
        <f t="shared" si="139"/>
        <v>0</v>
      </c>
      <c r="Z2491" s="55" t="e">
        <f t="shared" si="140"/>
        <v>#DIV/0!</v>
      </c>
    </row>
    <row r="2492" spans="5:26">
      <c r="G2492" s="8"/>
      <c r="L2492" s="20"/>
      <c r="M2492" s="117" t="s">
        <v>390</v>
      </c>
      <c r="N2492" s="118" t="s">
        <v>402</v>
      </c>
      <c r="O2492" s="118" t="s">
        <v>82</v>
      </c>
      <c r="P2492" s="20"/>
      <c r="Q2492" s="53">
        <f t="shared" si="136"/>
        <v>60331</v>
      </c>
      <c r="R2492" s="53">
        <f t="shared" si="136"/>
        <v>10828</v>
      </c>
      <c r="S2492" s="53">
        <f t="shared" si="136"/>
        <v>1809930</v>
      </c>
      <c r="T2492" s="53">
        <f t="shared" si="136"/>
        <v>324818</v>
      </c>
      <c r="U2492" s="53">
        <f t="shared" si="136"/>
        <v>57270.98</v>
      </c>
      <c r="W2492" s="160">
        <f t="shared" si="137"/>
        <v>0</v>
      </c>
      <c r="X2492" s="54">
        <f t="shared" si="138"/>
        <v>324818</v>
      </c>
      <c r="Y2492" s="54">
        <f t="shared" si="139"/>
        <v>57270.98</v>
      </c>
      <c r="Z2492" s="55">
        <f t="shared" si="140"/>
        <v>5.6715984255900631</v>
      </c>
    </row>
    <row r="2493" spans="5:26">
      <c r="G2493" s="8"/>
      <c r="L2493" s="20"/>
      <c r="M2493" s="117" t="s">
        <v>383</v>
      </c>
      <c r="N2493" s="118" t="s">
        <v>65</v>
      </c>
      <c r="O2493" s="118" t="s">
        <v>65</v>
      </c>
      <c r="P2493" s="20"/>
      <c r="Q2493" s="53">
        <f t="shared" si="136"/>
        <v>0</v>
      </c>
      <c r="R2493" s="53">
        <f t="shared" si="136"/>
        <v>0</v>
      </c>
      <c r="S2493" s="53">
        <f t="shared" si="136"/>
        <v>0</v>
      </c>
      <c r="T2493" s="53">
        <f t="shared" si="136"/>
        <v>0</v>
      </c>
      <c r="U2493" s="53">
        <f t="shared" si="136"/>
        <v>0</v>
      </c>
      <c r="W2493" s="160">
        <f t="shared" si="137"/>
        <v>0</v>
      </c>
      <c r="X2493" s="54">
        <f t="shared" si="138"/>
        <v>0</v>
      </c>
      <c r="Y2493" s="54">
        <f t="shared" si="139"/>
        <v>0</v>
      </c>
      <c r="Z2493" s="55" t="e">
        <f t="shared" si="140"/>
        <v>#DIV/0!</v>
      </c>
    </row>
    <row r="2494" spans="5:26">
      <c r="G2494" s="8"/>
      <c r="L2494" s="20"/>
      <c r="M2494" s="117" t="s">
        <v>382</v>
      </c>
      <c r="N2494" s="118" t="s">
        <v>61</v>
      </c>
      <c r="O2494" s="118" t="s">
        <v>61</v>
      </c>
      <c r="P2494" s="20"/>
      <c r="Q2494" s="53">
        <f t="shared" si="136"/>
        <v>96909</v>
      </c>
      <c r="R2494" s="53">
        <f t="shared" si="136"/>
        <v>38099</v>
      </c>
      <c r="S2494" s="53">
        <f t="shared" si="136"/>
        <v>605902</v>
      </c>
      <c r="T2494" s="160">
        <f t="shared" si="136"/>
        <v>237047</v>
      </c>
      <c r="U2494" s="53">
        <f t="shared" si="136"/>
        <v>21512.383999999998</v>
      </c>
      <c r="W2494" s="160">
        <f t="shared" si="137"/>
        <v>158995</v>
      </c>
      <c r="X2494" s="54">
        <f t="shared" si="138"/>
        <v>237047</v>
      </c>
      <c r="Y2494" s="54">
        <f t="shared" si="139"/>
        <v>21512.383999999998</v>
      </c>
      <c r="Z2494" s="55">
        <f t="shared" si="140"/>
        <v>11.019094861824707</v>
      </c>
    </row>
    <row r="2495" spans="5:26">
      <c r="G2495" s="8"/>
      <c r="L2495" s="20"/>
      <c r="M2495" s="117" t="s">
        <v>384</v>
      </c>
      <c r="N2495" s="118" t="s">
        <v>66</v>
      </c>
      <c r="O2495" s="118" t="s">
        <v>67</v>
      </c>
      <c r="P2495" s="20"/>
      <c r="Q2495" s="53">
        <f t="shared" si="136"/>
        <v>0</v>
      </c>
      <c r="R2495" s="53">
        <f t="shared" si="136"/>
        <v>0</v>
      </c>
      <c r="S2495" s="53">
        <f t="shared" si="136"/>
        <v>0</v>
      </c>
      <c r="T2495" s="53">
        <f t="shared" si="136"/>
        <v>0</v>
      </c>
      <c r="U2495" s="53">
        <f t="shared" si="136"/>
        <v>0</v>
      </c>
      <c r="W2495" s="160">
        <f t="shared" si="137"/>
        <v>0</v>
      </c>
      <c r="X2495" s="54">
        <f t="shared" si="138"/>
        <v>0</v>
      </c>
      <c r="Y2495" s="54">
        <f t="shared" si="139"/>
        <v>0</v>
      </c>
      <c r="Z2495" s="55" t="e">
        <f t="shared" si="140"/>
        <v>#DIV/0!</v>
      </c>
    </row>
    <row r="2496" spans="5:26">
      <c r="G2496" s="8"/>
      <c r="L2496" s="20"/>
      <c r="M2496" s="117" t="s">
        <v>385</v>
      </c>
      <c r="N2496" s="118" t="s">
        <v>76</v>
      </c>
      <c r="O2496" s="118" t="s">
        <v>67</v>
      </c>
      <c r="P2496" s="20"/>
      <c r="Q2496" s="53">
        <f t="shared" si="136"/>
        <v>0</v>
      </c>
      <c r="R2496" s="53">
        <f t="shared" si="136"/>
        <v>0</v>
      </c>
      <c r="S2496" s="53">
        <f t="shared" si="136"/>
        <v>0</v>
      </c>
      <c r="T2496" s="53">
        <f t="shared" si="136"/>
        <v>0</v>
      </c>
      <c r="U2496" s="53">
        <f t="shared" si="136"/>
        <v>0</v>
      </c>
      <c r="W2496" s="160">
        <f t="shared" si="137"/>
        <v>0</v>
      </c>
      <c r="X2496" s="54">
        <f t="shared" si="138"/>
        <v>0</v>
      </c>
      <c r="Y2496" s="54">
        <f t="shared" si="139"/>
        <v>0</v>
      </c>
      <c r="Z2496" s="55" t="e">
        <f t="shared" si="140"/>
        <v>#DIV/0!</v>
      </c>
    </row>
    <row r="2497" spans="7:26">
      <c r="G2497" s="8"/>
      <c r="L2497" s="20"/>
      <c r="M2497" s="117" t="s">
        <v>386</v>
      </c>
      <c r="N2497" s="118" t="s">
        <v>73</v>
      </c>
      <c r="O2497" s="118" t="s">
        <v>67</v>
      </c>
      <c r="P2497" s="20"/>
      <c r="Q2497" s="53">
        <f t="shared" si="136"/>
        <v>0</v>
      </c>
      <c r="R2497" s="53">
        <f t="shared" si="136"/>
        <v>0</v>
      </c>
      <c r="S2497" s="53">
        <f t="shared" si="136"/>
        <v>0</v>
      </c>
      <c r="T2497" s="53">
        <f t="shared" si="136"/>
        <v>0</v>
      </c>
      <c r="U2497" s="53">
        <f t="shared" si="136"/>
        <v>0</v>
      </c>
      <c r="W2497" s="160">
        <f t="shared" si="137"/>
        <v>0</v>
      </c>
      <c r="X2497" s="54">
        <f t="shared" si="138"/>
        <v>0</v>
      </c>
      <c r="Y2497" s="54">
        <f t="shared" si="139"/>
        <v>0</v>
      </c>
      <c r="Z2497" s="55" t="e">
        <f t="shared" si="140"/>
        <v>#DIV/0!</v>
      </c>
    </row>
    <row r="2498" spans="7:26">
      <c r="G2498" s="8"/>
      <c r="L2498" s="20"/>
      <c r="M2498" s="117" t="s">
        <v>435</v>
      </c>
      <c r="N2498" s="118" t="s">
        <v>426</v>
      </c>
      <c r="O2498" s="118" t="s">
        <v>427</v>
      </c>
      <c r="P2498" s="20"/>
      <c r="Q2498" s="53">
        <f t="shared" si="136"/>
        <v>726</v>
      </c>
      <c r="R2498" s="53">
        <f t="shared" si="136"/>
        <v>726</v>
      </c>
      <c r="S2498" s="53">
        <f t="shared" si="136"/>
        <v>1819</v>
      </c>
      <c r="T2498" s="53">
        <f t="shared" si="136"/>
        <v>1819</v>
      </c>
      <c r="U2498" s="53">
        <f t="shared" si="136"/>
        <v>96.027000000000001</v>
      </c>
      <c r="W2498" s="160">
        <f t="shared" si="137"/>
        <v>0</v>
      </c>
      <c r="X2498" s="54">
        <f t="shared" si="138"/>
        <v>1819</v>
      </c>
      <c r="Y2498" s="54">
        <f t="shared" si="139"/>
        <v>96.027000000000001</v>
      </c>
      <c r="Z2498" s="55">
        <f t="shared" si="140"/>
        <v>18.942589063492559</v>
      </c>
    </row>
    <row r="2499" spans="7:26">
      <c r="G2499" s="8"/>
      <c r="L2499" s="20"/>
      <c r="M2499" s="20"/>
      <c r="N2499" s="20"/>
      <c r="O2499" s="20"/>
      <c r="P2499" s="20"/>
      <c r="Q2499"/>
      <c r="R2499"/>
      <c r="S2499"/>
      <c r="T2499"/>
      <c r="U2499"/>
      <c r="Z2499" s="58"/>
    </row>
    <row r="2500" spans="7:26">
      <c r="G2500" s="8"/>
      <c r="H2500" t="s">
        <v>397</v>
      </c>
      <c r="L2500" s="20"/>
      <c r="M2500" s="117" t="s">
        <v>388</v>
      </c>
      <c r="N2500" s="118" t="s">
        <v>63</v>
      </c>
      <c r="O2500" s="118" t="s">
        <v>64</v>
      </c>
      <c r="P2500" s="20"/>
      <c r="Q2500" s="53">
        <f t="shared" ref="Q2500:U2507" si="141">SUMIFS(Q$7:Q$2428,$K$7:$K$2428, "&lt;4",$G$7:$G$2428,$G$2486,$N$7:$N$2428,$N2500)</f>
        <v>474318</v>
      </c>
      <c r="R2500" s="53">
        <f t="shared" si="141"/>
        <v>474318</v>
      </c>
      <c r="S2500" s="53">
        <f t="shared" si="141"/>
        <v>204870</v>
      </c>
      <c r="T2500" s="53">
        <f t="shared" si="141"/>
        <v>204870</v>
      </c>
      <c r="U2500" s="53">
        <f t="shared" si="141"/>
        <v>21994</v>
      </c>
      <c r="W2500" s="160">
        <f t="shared" ref="W2500:W2507" si="142">SUMIFS(T$7:T$2428,$K$7:$K$2428, "&lt;4",$G$7:$G$2428,$G$2486,$N$7:$N$2428,$N2500, $W$7:$W$2428, "=x")</f>
        <v>0</v>
      </c>
      <c r="X2500" s="54">
        <f t="shared" ref="X2500:X2507" si="143">SUMIFS(T$7:T$2428,U$7:U$2428, "&gt;0",$K$7:$K$2428, "&lt;4",$G$7:$G$2428,$G$2486,$N$7:$N$2428,$N2500)</f>
        <v>204870</v>
      </c>
      <c r="Y2500" s="54">
        <f t="shared" ref="Y2500:Y2507" si="144">SUMIFS(U$7:U$2428,U$7:U$2428, "&gt;0",$K$7:$K$2428, "&lt;4",$G$7:$G$2428,$G$2486,$N$7:$N$2428,$N2500)</f>
        <v>21994</v>
      </c>
      <c r="Z2500" s="55">
        <f t="shared" ref="Z2500:Z2507" si="145">X2500/Y2500</f>
        <v>9.3148131308538691</v>
      </c>
    </row>
    <row r="2501" spans="7:26">
      <c r="G2501" s="8"/>
      <c r="L2501" s="20"/>
      <c r="M2501" s="117" t="s">
        <v>391</v>
      </c>
      <c r="N2501" s="118" t="s">
        <v>16</v>
      </c>
      <c r="O2501" s="118" t="s">
        <v>64</v>
      </c>
      <c r="P2501" s="20"/>
      <c r="Q2501" s="53">
        <f t="shared" si="141"/>
        <v>111467</v>
      </c>
      <c r="R2501" s="53">
        <f t="shared" si="141"/>
        <v>111467</v>
      </c>
      <c r="S2501" s="53">
        <f t="shared" si="141"/>
        <v>822290</v>
      </c>
      <c r="T2501" s="53">
        <f t="shared" si="141"/>
        <v>822290</v>
      </c>
      <c r="U2501" s="53">
        <f t="shared" si="141"/>
        <v>39426.375999999997</v>
      </c>
      <c r="W2501" s="160">
        <f t="shared" si="142"/>
        <v>0</v>
      </c>
      <c r="X2501" s="54">
        <f t="shared" si="143"/>
        <v>822290</v>
      </c>
      <c r="Y2501" s="54">
        <f t="shared" si="144"/>
        <v>39426.375999999997</v>
      </c>
      <c r="Z2501" s="55">
        <f t="shared" si="145"/>
        <v>20.856342464749996</v>
      </c>
    </row>
    <row r="2502" spans="7:26">
      <c r="G2502" s="8"/>
      <c r="L2502" s="20"/>
      <c r="M2502" s="117" t="s">
        <v>387</v>
      </c>
      <c r="N2502" s="118" t="s">
        <v>154</v>
      </c>
      <c r="O2502" s="118" t="s">
        <v>70</v>
      </c>
      <c r="P2502" s="20"/>
      <c r="Q2502" s="53">
        <f t="shared" si="141"/>
        <v>548760</v>
      </c>
      <c r="R2502" s="53">
        <f t="shared" si="141"/>
        <v>96302</v>
      </c>
      <c r="S2502" s="53">
        <f t="shared" si="141"/>
        <v>6310744</v>
      </c>
      <c r="T2502" s="53">
        <f t="shared" si="141"/>
        <v>1107454</v>
      </c>
      <c r="U2502" s="53">
        <f t="shared" si="141"/>
        <v>196052.53</v>
      </c>
      <c r="W2502" s="160">
        <f t="shared" si="142"/>
        <v>0</v>
      </c>
      <c r="X2502" s="54">
        <f t="shared" si="143"/>
        <v>1107454</v>
      </c>
      <c r="Y2502" s="54">
        <f t="shared" si="144"/>
        <v>196052.53</v>
      </c>
      <c r="Z2502" s="55">
        <f t="shared" si="145"/>
        <v>5.648761584459022</v>
      </c>
    </row>
    <row r="2503" spans="7:26">
      <c r="G2503" s="8"/>
      <c r="L2503" s="20"/>
      <c r="M2503" s="117" t="s">
        <v>396</v>
      </c>
      <c r="N2503" s="118" t="s">
        <v>69</v>
      </c>
      <c r="O2503" s="118" t="s">
        <v>70</v>
      </c>
      <c r="P2503" s="20"/>
      <c r="Q2503" s="53">
        <f t="shared" si="141"/>
        <v>1656046</v>
      </c>
      <c r="R2503" s="53">
        <f t="shared" si="141"/>
        <v>1416946</v>
      </c>
      <c r="S2503" s="53">
        <f t="shared" si="141"/>
        <v>14621324</v>
      </c>
      <c r="T2503" s="53">
        <f t="shared" si="141"/>
        <v>12588968</v>
      </c>
      <c r="U2503" s="53">
        <f t="shared" si="141"/>
        <v>897198.26399999997</v>
      </c>
      <c r="W2503" s="160">
        <f t="shared" si="142"/>
        <v>0</v>
      </c>
      <c r="X2503" s="54">
        <f t="shared" si="143"/>
        <v>12588968</v>
      </c>
      <c r="Y2503" s="54">
        <f t="shared" si="144"/>
        <v>897198.26399999997</v>
      </c>
      <c r="Z2503" s="55">
        <f t="shared" si="145"/>
        <v>14.031422602039274</v>
      </c>
    </row>
    <row r="2504" spans="7:26">
      <c r="G2504" s="8"/>
      <c r="L2504" s="20"/>
      <c r="M2504" s="117" t="s">
        <v>389</v>
      </c>
      <c r="N2504" s="118" t="s">
        <v>155</v>
      </c>
      <c r="O2504" s="118" t="s">
        <v>49</v>
      </c>
      <c r="P2504" s="20"/>
      <c r="Q2504" s="53">
        <f t="shared" si="141"/>
        <v>28307</v>
      </c>
      <c r="R2504" s="53">
        <f t="shared" si="141"/>
        <v>4947</v>
      </c>
      <c r="S2504" s="53">
        <f t="shared" si="141"/>
        <v>118889</v>
      </c>
      <c r="T2504" s="53">
        <f t="shared" si="141"/>
        <v>20767</v>
      </c>
      <c r="U2504" s="53">
        <f t="shared" si="141"/>
        <v>3629.8939999999998</v>
      </c>
      <c r="W2504" s="160">
        <f t="shared" si="142"/>
        <v>0</v>
      </c>
      <c r="X2504" s="54">
        <f t="shared" si="143"/>
        <v>20767</v>
      </c>
      <c r="Y2504" s="54">
        <f t="shared" si="144"/>
        <v>3629.8939999999998</v>
      </c>
      <c r="Z2504" s="55">
        <f t="shared" si="145"/>
        <v>5.721103701650792</v>
      </c>
    </row>
    <row r="2505" spans="7:26">
      <c r="G2505" s="8"/>
      <c r="L2505" s="20"/>
      <c r="M2505" s="117" t="s">
        <v>437</v>
      </c>
      <c r="N2505" s="118" t="s">
        <v>419</v>
      </c>
      <c r="O2505" s="118" t="s">
        <v>49</v>
      </c>
      <c r="P2505" s="20"/>
      <c r="Q2505" s="53">
        <f t="shared" si="141"/>
        <v>0</v>
      </c>
      <c r="R2505" s="53">
        <f t="shared" si="141"/>
        <v>0</v>
      </c>
      <c r="S2505" s="53">
        <f t="shared" si="141"/>
        <v>0</v>
      </c>
      <c r="T2505" s="53">
        <f t="shared" si="141"/>
        <v>0</v>
      </c>
      <c r="U2505" s="53">
        <f t="shared" si="141"/>
        <v>0</v>
      </c>
      <c r="W2505" s="160">
        <f t="shared" si="142"/>
        <v>0</v>
      </c>
      <c r="X2505" s="54">
        <f t="shared" si="143"/>
        <v>0</v>
      </c>
      <c r="Y2505" s="54">
        <f t="shared" si="144"/>
        <v>0</v>
      </c>
      <c r="Z2505" s="55" t="e">
        <f t="shared" si="145"/>
        <v>#DIV/0!</v>
      </c>
    </row>
    <row r="2506" spans="7:26">
      <c r="G2506" s="8"/>
      <c r="L2506" s="20"/>
      <c r="M2506" s="117" t="s">
        <v>2508</v>
      </c>
      <c r="N2506" s="118" t="s">
        <v>424</v>
      </c>
      <c r="O2506" s="118" t="s">
        <v>49</v>
      </c>
      <c r="P2506" s="20"/>
      <c r="Q2506" s="53">
        <f t="shared" si="141"/>
        <v>0</v>
      </c>
      <c r="R2506" s="53">
        <f t="shared" si="141"/>
        <v>0</v>
      </c>
      <c r="S2506" s="53">
        <f t="shared" si="141"/>
        <v>0</v>
      </c>
      <c r="T2506" s="53">
        <f t="shared" si="141"/>
        <v>0</v>
      </c>
      <c r="U2506" s="53">
        <f t="shared" si="141"/>
        <v>0</v>
      </c>
      <c r="W2506" s="160">
        <f t="shared" si="142"/>
        <v>0</v>
      </c>
      <c r="X2506" s="54">
        <f t="shared" si="143"/>
        <v>0</v>
      </c>
      <c r="Y2506" s="54">
        <f t="shared" si="144"/>
        <v>0</v>
      </c>
      <c r="Z2506" s="55" t="e">
        <f t="shared" si="145"/>
        <v>#DIV/0!</v>
      </c>
    </row>
    <row r="2507" spans="7:26">
      <c r="G2507" s="8"/>
      <c r="L2507" s="20"/>
      <c r="M2507" s="117" t="s">
        <v>436</v>
      </c>
      <c r="N2507" s="118" t="s">
        <v>68</v>
      </c>
      <c r="O2507" s="118" t="s">
        <v>49</v>
      </c>
      <c r="P2507" s="20"/>
      <c r="Q2507" s="53">
        <f t="shared" si="141"/>
        <v>0</v>
      </c>
      <c r="R2507" s="53">
        <f t="shared" si="141"/>
        <v>0</v>
      </c>
      <c r="S2507" s="53">
        <f t="shared" si="141"/>
        <v>0</v>
      </c>
      <c r="T2507" s="53">
        <f t="shared" si="141"/>
        <v>0</v>
      </c>
      <c r="U2507" s="53">
        <f t="shared" si="141"/>
        <v>0</v>
      </c>
      <c r="W2507" s="160">
        <f t="shared" si="142"/>
        <v>0</v>
      </c>
      <c r="X2507" s="54">
        <f t="shared" si="143"/>
        <v>0</v>
      </c>
      <c r="Y2507" s="54">
        <f t="shared" si="144"/>
        <v>0</v>
      </c>
      <c r="Z2507" s="55" t="e">
        <f t="shared" si="145"/>
        <v>#DIV/0!</v>
      </c>
    </row>
    <row r="2508" spans="7:26" ht="13">
      <c r="G2508" s="9"/>
      <c r="H2508" s="10"/>
      <c r="I2508" s="10"/>
      <c r="J2508" s="10"/>
      <c r="K2508" s="10"/>
      <c r="L2508" s="148"/>
      <c r="M2508" s="148"/>
      <c r="N2508" s="148"/>
      <c r="O2508" s="149"/>
      <c r="P2508" s="148"/>
      <c r="Q2508" s="26">
        <f>SUM(Q2486:Q2507)</f>
        <v>22430882</v>
      </c>
      <c r="R2508" s="26">
        <f>SUM(R2486:R2507)</f>
        <v>21551227</v>
      </c>
      <c r="S2508" s="26">
        <f>SUM(S2486:S2507)</f>
        <v>47210255</v>
      </c>
      <c r="T2508" s="26">
        <f>SUM(T2486:T2507)</f>
        <v>36719955</v>
      </c>
      <c r="U2508" s="26">
        <f>SUM(U2486:U2507)</f>
        <v>4077450.0009999997</v>
      </c>
      <c r="V2508" s="10"/>
      <c r="W2508" s="10"/>
      <c r="X2508" s="56"/>
      <c r="Y2508" s="56"/>
      <c r="Z2508" s="57"/>
    </row>
    <row r="2510" spans="7:26">
      <c r="X2510" s="1"/>
      <c r="Y2510" s="1"/>
      <c r="Z2510" s="1"/>
    </row>
    <row r="2511" spans="7:26">
      <c r="G2511" s="4" t="s">
        <v>96</v>
      </c>
      <c r="H2511" s="5" t="s">
        <v>398</v>
      </c>
      <c r="I2511" s="5"/>
      <c r="J2511" s="5"/>
      <c r="K2511" s="5"/>
      <c r="L2511" s="5"/>
      <c r="M2511" s="6" t="s">
        <v>392</v>
      </c>
      <c r="N2511" s="7" t="s">
        <v>43</v>
      </c>
      <c r="O2511" s="7" t="s">
        <v>44</v>
      </c>
      <c r="P2511" s="5"/>
      <c r="Q2511" s="50">
        <f t="shared" ref="Q2511:U2523" si="146">SUMIFS(Q$7:Q$2428,$K$7:$K$2428, "&lt;4",$G$7:$G$2428,$G$2511,$N$7:$N$2428,$N2511)</f>
        <v>123458</v>
      </c>
      <c r="R2511" s="50">
        <f t="shared" si="146"/>
        <v>123458</v>
      </c>
      <c r="S2511" s="50">
        <f t="shared" si="146"/>
        <v>3258577</v>
      </c>
      <c r="T2511" s="159">
        <f t="shared" si="146"/>
        <v>3258577</v>
      </c>
      <c r="U2511" s="50">
        <f t="shared" si="146"/>
        <v>284163.45</v>
      </c>
      <c r="V2511" s="5"/>
      <c r="W2511" s="159">
        <f t="shared" ref="W2511:W2523" si="147">SUMIFS(T$7:T$2428,$K$7:$K$2428, "&lt;4",$G$7:$G$2428,$G$2511,$N$7:$N$2428,$N2511, $W$7:$W$2428, "=x")</f>
        <v>3258577</v>
      </c>
      <c r="X2511" s="51">
        <f t="shared" ref="X2511:X2523" si="148">SUMIFS(T$7:T$2428,U$7:U$2428, "&gt;0",$K$7:$K$2428, "&lt;4",$G$7:$G$2428,$G$2511,$N$7:$N$2428,$N2511)</f>
        <v>3258577</v>
      </c>
      <c r="Y2511" s="51">
        <f t="shared" ref="Y2511:Y2523" si="149">SUMIFS(U$7:U$2428,U$7:U$2428, "&gt;0",$K$7:$K$2428, "&lt;4",$G$7:$G$2428,$G$2511,$N$7:$N$2428,$N2511)</f>
        <v>284163.45</v>
      </c>
      <c r="Z2511" s="52">
        <f t="shared" ref="Z2511:Z2523" si="150">X2511/Y2511</f>
        <v>11.467262943211029</v>
      </c>
    </row>
    <row r="2512" spans="7:26">
      <c r="G2512" s="8"/>
      <c r="L2512" s="20"/>
      <c r="M2512" s="117" t="s">
        <v>393</v>
      </c>
      <c r="N2512" s="118" t="s">
        <v>48</v>
      </c>
      <c r="O2512" s="118" t="s">
        <v>44</v>
      </c>
      <c r="P2512" s="20"/>
      <c r="Q2512" s="53">
        <f t="shared" si="146"/>
        <v>0</v>
      </c>
      <c r="R2512" s="53">
        <f t="shared" si="146"/>
        <v>0</v>
      </c>
      <c r="S2512" s="53">
        <f t="shared" si="146"/>
        <v>0</v>
      </c>
      <c r="T2512" s="53">
        <f t="shared" si="146"/>
        <v>0</v>
      </c>
      <c r="U2512" s="53">
        <f t="shared" si="146"/>
        <v>0</v>
      </c>
      <c r="W2512" s="160">
        <f t="shared" si="147"/>
        <v>0</v>
      </c>
      <c r="X2512" s="54">
        <f t="shared" si="148"/>
        <v>0</v>
      </c>
      <c r="Y2512" s="54">
        <f t="shared" si="149"/>
        <v>0</v>
      </c>
      <c r="Z2512" s="55" t="e">
        <f t="shared" si="150"/>
        <v>#DIV/0!</v>
      </c>
    </row>
    <row r="2513" spans="7:26">
      <c r="G2513" s="8"/>
      <c r="L2513" s="20"/>
      <c r="M2513" s="117" t="s">
        <v>381</v>
      </c>
      <c r="N2513" s="118" t="s">
        <v>46</v>
      </c>
      <c r="O2513" s="118" t="s">
        <v>46</v>
      </c>
      <c r="P2513" s="20"/>
      <c r="Q2513" s="53">
        <f t="shared" si="146"/>
        <v>59352</v>
      </c>
      <c r="R2513" s="53">
        <f t="shared" si="146"/>
        <v>59352</v>
      </c>
      <c r="S2513" s="53">
        <f t="shared" si="146"/>
        <v>339524</v>
      </c>
      <c r="T2513" s="160">
        <f t="shared" si="146"/>
        <v>339524</v>
      </c>
      <c r="U2513" s="53">
        <f t="shared" si="146"/>
        <v>43266.182999999997</v>
      </c>
      <c r="W2513" s="160">
        <f t="shared" si="147"/>
        <v>331535</v>
      </c>
      <c r="X2513" s="54">
        <f t="shared" si="148"/>
        <v>339524</v>
      </c>
      <c r="Y2513" s="54">
        <f t="shared" si="149"/>
        <v>43266.182999999997</v>
      </c>
      <c r="Z2513" s="55">
        <f t="shared" si="150"/>
        <v>7.8473296338620866</v>
      </c>
    </row>
    <row r="2514" spans="7:26">
      <c r="G2514" s="8"/>
      <c r="L2514" s="20"/>
      <c r="M2514" s="117" t="s">
        <v>380</v>
      </c>
      <c r="N2514" s="118" t="s">
        <v>39</v>
      </c>
      <c r="O2514" s="118" t="s">
        <v>39</v>
      </c>
      <c r="P2514" s="20"/>
      <c r="Q2514" s="53">
        <f t="shared" si="146"/>
        <v>32104410</v>
      </c>
      <c r="R2514" s="53">
        <f t="shared" si="146"/>
        <v>32104410</v>
      </c>
      <c r="S2514" s="53">
        <f t="shared" si="146"/>
        <v>33120120</v>
      </c>
      <c r="T2514" s="160">
        <f t="shared" si="146"/>
        <v>33120120</v>
      </c>
      <c r="U2514" s="53">
        <f t="shared" si="146"/>
        <v>4425212.8709999993</v>
      </c>
      <c r="W2514" s="160">
        <f t="shared" si="147"/>
        <v>33120120</v>
      </c>
      <c r="X2514" s="54">
        <f t="shared" si="148"/>
        <v>33120120</v>
      </c>
      <c r="Y2514" s="54">
        <f t="shared" si="149"/>
        <v>4425212.8709999993</v>
      </c>
      <c r="Z2514" s="55">
        <f t="shared" si="150"/>
        <v>7.4844128328939785</v>
      </c>
    </row>
    <row r="2515" spans="7:26">
      <c r="G2515" s="8"/>
      <c r="L2515" s="20"/>
      <c r="M2515" s="117" t="s">
        <v>394</v>
      </c>
      <c r="N2515" s="118" t="s">
        <v>17</v>
      </c>
      <c r="O2515" s="118" t="s">
        <v>82</v>
      </c>
      <c r="P2515" s="20"/>
      <c r="Q2515" s="53">
        <f t="shared" si="146"/>
        <v>73567</v>
      </c>
      <c r="R2515" s="53">
        <f t="shared" si="146"/>
        <v>73567</v>
      </c>
      <c r="S2515" s="53">
        <f t="shared" si="146"/>
        <v>1078974</v>
      </c>
      <c r="T2515" s="53">
        <f t="shared" si="146"/>
        <v>1078974</v>
      </c>
      <c r="U2515" s="53">
        <f t="shared" si="146"/>
        <v>55316.677000000003</v>
      </c>
      <c r="W2515" s="160">
        <f t="shared" si="147"/>
        <v>0</v>
      </c>
      <c r="X2515" s="54">
        <f t="shared" si="148"/>
        <v>1078974</v>
      </c>
      <c r="Y2515" s="54">
        <f t="shared" si="149"/>
        <v>55316.677000000003</v>
      </c>
      <c r="Z2515" s="55">
        <f t="shared" si="150"/>
        <v>19.505401598870446</v>
      </c>
    </row>
    <row r="2516" spans="7:26">
      <c r="G2516" s="8"/>
      <c r="L2516" s="20"/>
      <c r="M2516" s="117" t="s">
        <v>395</v>
      </c>
      <c r="N2516" s="118" t="s">
        <v>82</v>
      </c>
      <c r="O2516" s="118" t="s">
        <v>82</v>
      </c>
      <c r="P2516" s="20"/>
      <c r="Q2516" s="53">
        <f t="shared" si="146"/>
        <v>0</v>
      </c>
      <c r="R2516" s="53">
        <f t="shared" si="146"/>
        <v>0</v>
      </c>
      <c r="S2516" s="53">
        <f t="shared" si="146"/>
        <v>0</v>
      </c>
      <c r="T2516" s="53">
        <f t="shared" si="146"/>
        <v>0</v>
      </c>
      <c r="U2516" s="53">
        <f t="shared" si="146"/>
        <v>0</v>
      </c>
      <c r="W2516" s="160">
        <f t="shared" si="147"/>
        <v>0</v>
      </c>
      <c r="X2516" s="54">
        <f t="shared" si="148"/>
        <v>0</v>
      </c>
      <c r="Y2516" s="54">
        <f t="shared" si="149"/>
        <v>0</v>
      </c>
      <c r="Z2516" s="55" t="e">
        <f t="shared" si="150"/>
        <v>#DIV/0!</v>
      </c>
    </row>
    <row r="2517" spans="7:26">
      <c r="G2517" s="8"/>
      <c r="L2517" s="20"/>
      <c r="M2517" s="117" t="s">
        <v>390</v>
      </c>
      <c r="N2517" s="118" t="s">
        <v>402</v>
      </c>
      <c r="O2517" s="118" t="s">
        <v>82</v>
      </c>
      <c r="P2517" s="20"/>
      <c r="Q2517" s="53">
        <f t="shared" si="146"/>
        <v>0</v>
      </c>
      <c r="R2517" s="53">
        <f t="shared" si="146"/>
        <v>0</v>
      </c>
      <c r="S2517" s="53">
        <f t="shared" si="146"/>
        <v>0</v>
      </c>
      <c r="T2517" s="53">
        <f t="shared" si="146"/>
        <v>0</v>
      </c>
      <c r="U2517" s="53">
        <f t="shared" si="146"/>
        <v>0</v>
      </c>
      <c r="W2517" s="160">
        <f t="shared" si="147"/>
        <v>0</v>
      </c>
      <c r="X2517" s="54">
        <f t="shared" si="148"/>
        <v>0</v>
      </c>
      <c r="Y2517" s="54">
        <f t="shared" si="149"/>
        <v>0</v>
      </c>
      <c r="Z2517" s="55" t="e">
        <f t="shared" si="150"/>
        <v>#DIV/0!</v>
      </c>
    </row>
    <row r="2518" spans="7:26">
      <c r="G2518" s="8"/>
      <c r="L2518" s="20"/>
      <c r="M2518" s="117" t="s">
        <v>383</v>
      </c>
      <c r="N2518" s="118" t="s">
        <v>65</v>
      </c>
      <c r="O2518" s="118" t="s">
        <v>65</v>
      </c>
      <c r="P2518" s="20"/>
      <c r="Q2518" s="53">
        <f t="shared" si="146"/>
        <v>0</v>
      </c>
      <c r="R2518" s="53">
        <f t="shared" si="146"/>
        <v>0</v>
      </c>
      <c r="S2518" s="53">
        <f t="shared" si="146"/>
        <v>0</v>
      </c>
      <c r="T2518" s="53">
        <f t="shared" si="146"/>
        <v>0</v>
      </c>
      <c r="U2518" s="53">
        <f t="shared" si="146"/>
        <v>0</v>
      </c>
      <c r="W2518" s="160">
        <f t="shared" si="147"/>
        <v>0</v>
      </c>
      <c r="X2518" s="54">
        <f t="shared" si="148"/>
        <v>0</v>
      </c>
      <c r="Y2518" s="54">
        <f t="shared" si="149"/>
        <v>0</v>
      </c>
      <c r="Z2518" s="55" t="e">
        <f t="shared" si="150"/>
        <v>#DIV/0!</v>
      </c>
    </row>
    <row r="2519" spans="7:26">
      <c r="G2519" s="8"/>
      <c r="L2519" s="20"/>
      <c r="M2519" s="117" t="s">
        <v>382</v>
      </c>
      <c r="N2519" s="118" t="s">
        <v>61</v>
      </c>
      <c r="O2519" s="118" t="s">
        <v>61</v>
      </c>
      <c r="P2519" s="20"/>
      <c r="Q2519" s="53">
        <f t="shared" si="146"/>
        <v>27738</v>
      </c>
      <c r="R2519" s="53">
        <f t="shared" si="146"/>
        <v>27738</v>
      </c>
      <c r="S2519" s="53">
        <f t="shared" si="146"/>
        <v>174750</v>
      </c>
      <c r="T2519" s="160">
        <f t="shared" si="146"/>
        <v>174750</v>
      </c>
      <c r="U2519" s="53">
        <f t="shared" si="146"/>
        <v>12987.878000000001</v>
      </c>
      <c r="W2519" s="160">
        <f t="shared" si="147"/>
        <v>174750</v>
      </c>
      <c r="X2519" s="54">
        <f t="shared" si="148"/>
        <v>174750</v>
      </c>
      <c r="Y2519" s="54">
        <f t="shared" si="149"/>
        <v>12987.878000000001</v>
      </c>
      <c r="Z2519" s="55">
        <f t="shared" si="150"/>
        <v>13.454853826006065</v>
      </c>
    </row>
    <row r="2520" spans="7:26">
      <c r="G2520" s="8"/>
      <c r="L2520" s="20"/>
      <c r="M2520" s="117" t="s">
        <v>384</v>
      </c>
      <c r="N2520" s="118" t="s">
        <v>66</v>
      </c>
      <c r="O2520" s="118" t="s">
        <v>67</v>
      </c>
      <c r="P2520" s="20"/>
      <c r="Q2520" s="53">
        <f t="shared" si="146"/>
        <v>6504</v>
      </c>
      <c r="R2520" s="53">
        <f t="shared" si="146"/>
        <v>6504</v>
      </c>
      <c r="S2520" s="53">
        <f t="shared" si="146"/>
        <v>37276</v>
      </c>
      <c r="T2520" s="160">
        <f t="shared" si="146"/>
        <v>37276</v>
      </c>
      <c r="U2520" s="53">
        <f t="shared" si="146"/>
        <v>2370</v>
      </c>
      <c r="W2520" s="160">
        <f t="shared" si="147"/>
        <v>17796</v>
      </c>
      <c r="X2520" s="54">
        <f t="shared" si="148"/>
        <v>37276</v>
      </c>
      <c r="Y2520" s="54">
        <f t="shared" si="149"/>
        <v>2370</v>
      </c>
      <c r="Z2520" s="55">
        <f t="shared" si="150"/>
        <v>15.728270042194092</v>
      </c>
    </row>
    <row r="2521" spans="7:26">
      <c r="G2521" s="8"/>
      <c r="L2521" s="20"/>
      <c r="M2521" s="117" t="s">
        <v>385</v>
      </c>
      <c r="N2521" s="118" t="s">
        <v>76</v>
      </c>
      <c r="O2521" s="118" t="s">
        <v>67</v>
      </c>
      <c r="P2521" s="20"/>
      <c r="Q2521" s="53">
        <f t="shared" si="146"/>
        <v>0</v>
      </c>
      <c r="R2521" s="53">
        <f t="shared" si="146"/>
        <v>0</v>
      </c>
      <c r="S2521" s="53">
        <f t="shared" si="146"/>
        <v>0</v>
      </c>
      <c r="T2521" s="53">
        <f t="shared" si="146"/>
        <v>0</v>
      </c>
      <c r="U2521" s="53">
        <f t="shared" si="146"/>
        <v>0</v>
      </c>
      <c r="W2521" s="160">
        <f t="shared" si="147"/>
        <v>0</v>
      </c>
      <c r="X2521" s="54">
        <f t="shared" si="148"/>
        <v>0</v>
      </c>
      <c r="Y2521" s="54">
        <f t="shared" si="149"/>
        <v>0</v>
      </c>
      <c r="Z2521" s="55" t="e">
        <f t="shared" si="150"/>
        <v>#DIV/0!</v>
      </c>
    </row>
    <row r="2522" spans="7:26">
      <c r="G2522" s="8"/>
      <c r="L2522" s="20"/>
      <c r="M2522" s="117" t="s">
        <v>386</v>
      </c>
      <c r="N2522" s="118" t="s">
        <v>73</v>
      </c>
      <c r="O2522" s="118" t="s">
        <v>67</v>
      </c>
      <c r="P2522" s="20"/>
      <c r="Q2522" s="53">
        <f t="shared" si="146"/>
        <v>0</v>
      </c>
      <c r="R2522" s="53">
        <f t="shared" si="146"/>
        <v>0</v>
      </c>
      <c r="S2522" s="53">
        <f t="shared" si="146"/>
        <v>0</v>
      </c>
      <c r="T2522" s="53">
        <f t="shared" si="146"/>
        <v>0</v>
      </c>
      <c r="U2522" s="53">
        <f t="shared" si="146"/>
        <v>0</v>
      </c>
      <c r="W2522" s="160">
        <f t="shared" si="147"/>
        <v>0</v>
      </c>
      <c r="X2522" s="54">
        <f t="shared" si="148"/>
        <v>0</v>
      </c>
      <c r="Y2522" s="54">
        <f t="shared" si="149"/>
        <v>0</v>
      </c>
      <c r="Z2522" s="55" t="e">
        <f t="shared" si="150"/>
        <v>#DIV/0!</v>
      </c>
    </row>
    <row r="2523" spans="7:26">
      <c r="G2523" s="8"/>
      <c r="L2523" s="20"/>
      <c r="M2523" s="117" t="s">
        <v>435</v>
      </c>
      <c r="N2523" s="118" t="s">
        <v>426</v>
      </c>
      <c r="O2523" s="118" t="s">
        <v>427</v>
      </c>
      <c r="P2523" s="20"/>
      <c r="Q2523" s="53">
        <f t="shared" si="146"/>
        <v>0</v>
      </c>
      <c r="R2523" s="53">
        <f t="shared" si="146"/>
        <v>0</v>
      </c>
      <c r="S2523" s="53">
        <f t="shared" si="146"/>
        <v>0</v>
      </c>
      <c r="T2523" s="53">
        <f t="shared" si="146"/>
        <v>0</v>
      </c>
      <c r="U2523" s="53">
        <f t="shared" si="146"/>
        <v>0</v>
      </c>
      <c r="W2523" s="160">
        <f t="shared" si="147"/>
        <v>0</v>
      </c>
      <c r="X2523" s="54">
        <f t="shared" si="148"/>
        <v>0</v>
      </c>
      <c r="Y2523" s="54">
        <f t="shared" si="149"/>
        <v>0</v>
      </c>
      <c r="Z2523" s="55" t="e">
        <f t="shared" si="150"/>
        <v>#DIV/0!</v>
      </c>
    </row>
    <row r="2524" spans="7:26">
      <c r="G2524" s="8"/>
      <c r="L2524" s="20"/>
      <c r="M2524" s="20"/>
      <c r="N2524" s="20"/>
      <c r="O2524" s="20"/>
      <c r="P2524" s="20"/>
      <c r="Q2524"/>
      <c r="R2524"/>
      <c r="S2524"/>
      <c r="T2524"/>
      <c r="U2524"/>
      <c r="Z2524" s="58"/>
    </row>
    <row r="2525" spans="7:26">
      <c r="G2525" s="8"/>
      <c r="H2525" t="s">
        <v>397</v>
      </c>
      <c r="L2525" s="20"/>
      <c r="M2525" s="117" t="s">
        <v>388</v>
      </c>
      <c r="N2525" s="118" t="s">
        <v>63</v>
      </c>
      <c r="O2525" s="118" t="s">
        <v>64</v>
      </c>
      <c r="P2525" s="20"/>
      <c r="Q2525" s="53">
        <f t="shared" ref="Q2525:U2532" si="151">SUMIFS(Q$7:Q$2428,$K$7:$K$2428, "&lt;4",$G$7:$G$2428,$G$2511,$N$7:$N$2428,$N2525)</f>
        <v>1932941</v>
      </c>
      <c r="R2525" s="53">
        <f t="shared" si="151"/>
        <v>1932941</v>
      </c>
      <c r="S2525" s="53">
        <f t="shared" si="151"/>
        <v>935853</v>
      </c>
      <c r="T2525" s="53">
        <f t="shared" si="151"/>
        <v>935853</v>
      </c>
      <c r="U2525" s="53">
        <f t="shared" si="151"/>
        <v>53241</v>
      </c>
      <c r="W2525" s="160">
        <f t="shared" ref="W2525:W2532" si="152">SUMIFS(T$7:T$2428,$K$7:$K$2428, "&lt;4",$G$7:$G$2428,$G$2511,$N$7:$N$2428,$N2525, $W$7:$W$2428, "=x")</f>
        <v>0</v>
      </c>
      <c r="X2525" s="54">
        <f t="shared" ref="X2525:X2532" si="153">SUMIFS(T$7:T$2428,U$7:U$2428, "&gt;0",$K$7:$K$2428, "&lt;4",$G$7:$G$2428,$G$2511,$N$7:$N$2428,$N2525)</f>
        <v>935853</v>
      </c>
      <c r="Y2525" s="54">
        <f t="shared" ref="Y2525:Y2532" si="154">SUMIFS(U$7:U$2428,U$7:U$2428, "&gt;0",$K$7:$K$2428, "&lt;4",$G$7:$G$2428,$G$2511,$N$7:$N$2428,$N2525)</f>
        <v>53241</v>
      </c>
      <c r="Z2525" s="55">
        <f t="shared" ref="Z2525:Z2532" si="155">X2525/Y2525</f>
        <v>17.577675100016904</v>
      </c>
    </row>
    <row r="2526" spans="7:26">
      <c r="G2526" s="8"/>
      <c r="L2526" s="20"/>
      <c r="M2526" s="117" t="s">
        <v>391</v>
      </c>
      <c r="N2526" s="118" t="s">
        <v>16</v>
      </c>
      <c r="O2526" s="118" t="s">
        <v>64</v>
      </c>
      <c r="P2526" s="20"/>
      <c r="Q2526" s="53">
        <f t="shared" si="151"/>
        <v>115064</v>
      </c>
      <c r="R2526" s="53">
        <f t="shared" si="151"/>
        <v>115064</v>
      </c>
      <c r="S2526" s="53">
        <f t="shared" si="151"/>
        <v>882799</v>
      </c>
      <c r="T2526" s="53">
        <f t="shared" si="151"/>
        <v>882799</v>
      </c>
      <c r="U2526" s="53">
        <f t="shared" si="151"/>
        <v>45259.322999999997</v>
      </c>
      <c r="W2526" s="160">
        <f t="shared" si="152"/>
        <v>0</v>
      </c>
      <c r="X2526" s="54">
        <f t="shared" si="153"/>
        <v>882799</v>
      </c>
      <c r="Y2526" s="54">
        <f t="shared" si="154"/>
        <v>45259.322999999997</v>
      </c>
      <c r="Z2526" s="55">
        <f t="shared" si="155"/>
        <v>19.50535141676777</v>
      </c>
    </row>
    <row r="2527" spans="7:26">
      <c r="G2527" s="8"/>
      <c r="L2527" s="20"/>
      <c r="M2527" s="117" t="s">
        <v>387</v>
      </c>
      <c r="N2527" s="118" t="s">
        <v>154</v>
      </c>
      <c r="O2527" s="118" t="s">
        <v>70</v>
      </c>
      <c r="P2527" s="20"/>
      <c r="Q2527" s="53">
        <f t="shared" si="151"/>
        <v>0</v>
      </c>
      <c r="R2527" s="53">
        <f t="shared" si="151"/>
        <v>0</v>
      </c>
      <c r="S2527" s="53">
        <f t="shared" si="151"/>
        <v>0</v>
      </c>
      <c r="T2527" s="53">
        <f t="shared" si="151"/>
        <v>0</v>
      </c>
      <c r="U2527" s="53">
        <f t="shared" si="151"/>
        <v>0</v>
      </c>
      <c r="W2527" s="160">
        <f t="shared" si="152"/>
        <v>0</v>
      </c>
      <c r="X2527" s="54">
        <f t="shared" si="153"/>
        <v>0</v>
      </c>
      <c r="Y2527" s="54">
        <f t="shared" si="154"/>
        <v>0</v>
      </c>
      <c r="Z2527" s="55" t="e">
        <f t="shared" si="155"/>
        <v>#DIV/0!</v>
      </c>
    </row>
    <row r="2528" spans="7:26">
      <c r="G2528" s="8"/>
      <c r="L2528" s="20"/>
      <c r="M2528" s="117" t="s">
        <v>396</v>
      </c>
      <c r="N2528" s="118" t="s">
        <v>69</v>
      </c>
      <c r="O2528" s="118" t="s">
        <v>70</v>
      </c>
      <c r="P2528" s="20"/>
      <c r="Q2528" s="53">
        <f t="shared" si="151"/>
        <v>1276803</v>
      </c>
      <c r="R2528" s="53">
        <f t="shared" si="151"/>
        <v>1276803</v>
      </c>
      <c r="S2528" s="53">
        <f t="shared" si="151"/>
        <v>11093982</v>
      </c>
      <c r="T2528" s="53">
        <f t="shared" si="151"/>
        <v>11093982</v>
      </c>
      <c r="U2528" s="53">
        <f t="shared" si="151"/>
        <v>788599.62000000011</v>
      </c>
      <c r="W2528" s="160">
        <f t="shared" si="152"/>
        <v>0</v>
      </c>
      <c r="X2528" s="54">
        <f t="shared" si="153"/>
        <v>11093982</v>
      </c>
      <c r="Y2528" s="54">
        <f t="shared" si="154"/>
        <v>788599.62000000011</v>
      </c>
      <c r="Z2528" s="55">
        <f t="shared" si="155"/>
        <v>14.067952505480536</v>
      </c>
    </row>
    <row r="2529" spans="7:26">
      <c r="G2529" s="8"/>
      <c r="L2529" s="20"/>
      <c r="M2529" s="117" t="s">
        <v>389</v>
      </c>
      <c r="N2529" s="118" t="s">
        <v>155</v>
      </c>
      <c r="O2529" s="118" t="s">
        <v>49</v>
      </c>
      <c r="P2529" s="20"/>
      <c r="Q2529" s="53">
        <f t="shared" si="151"/>
        <v>0</v>
      </c>
      <c r="R2529" s="53">
        <f t="shared" si="151"/>
        <v>0</v>
      </c>
      <c r="S2529" s="53">
        <f t="shared" si="151"/>
        <v>0</v>
      </c>
      <c r="T2529" s="53">
        <f t="shared" si="151"/>
        <v>0</v>
      </c>
      <c r="U2529" s="53">
        <f t="shared" si="151"/>
        <v>0</v>
      </c>
      <c r="W2529" s="160">
        <f t="shared" si="152"/>
        <v>0</v>
      </c>
      <c r="X2529" s="54">
        <f t="shared" si="153"/>
        <v>0</v>
      </c>
      <c r="Y2529" s="54">
        <f t="shared" si="154"/>
        <v>0</v>
      </c>
      <c r="Z2529" s="55" t="e">
        <f t="shared" si="155"/>
        <v>#DIV/0!</v>
      </c>
    </row>
    <row r="2530" spans="7:26">
      <c r="G2530" s="8"/>
      <c r="L2530" s="20"/>
      <c r="M2530" s="117" t="s">
        <v>437</v>
      </c>
      <c r="N2530" s="118" t="s">
        <v>419</v>
      </c>
      <c r="O2530" s="118" t="s">
        <v>49</v>
      </c>
      <c r="P2530" s="20"/>
      <c r="Q2530" s="53">
        <f t="shared" si="151"/>
        <v>0</v>
      </c>
      <c r="R2530" s="53">
        <f t="shared" si="151"/>
        <v>0</v>
      </c>
      <c r="S2530" s="53">
        <f t="shared" si="151"/>
        <v>0</v>
      </c>
      <c r="T2530" s="53">
        <f t="shared" si="151"/>
        <v>0</v>
      </c>
      <c r="U2530" s="53">
        <f t="shared" si="151"/>
        <v>0</v>
      </c>
      <c r="W2530" s="160">
        <f t="shared" si="152"/>
        <v>0</v>
      </c>
      <c r="X2530" s="54">
        <f t="shared" si="153"/>
        <v>0</v>
      </c>
      <c r="Y2530" s="54">
        <f t="shared" si="154"/>
        <v>0</v>
      </c>
      <c r="Z2530" s="55" t="e">
        <f t="shared" si="155"/>
        <v>#DIV/0!</v>
      </c>
    </row>
    <row r="2531" spans="7:26">
      <c r="G2531" s="8"/>
      <c r="L2531" s="20"/>
      <c r="M2531" s="117" t="s">
        <v>2508</v>
      </c>
      <c r="N2531" s="118" t="s">
        <v>424</v>
      </c>
      <c r="O2531" s="118" t="s">
        <v>49</v>
      </c>
      <c r="P2531" s="20"/>
      <c r="Q2531" s="53">
        <f t="shared" si="151"/>
        <v>0</v>
      </c>
      <c r="R2531" s="53">
        <f t="shared" si="151"/>
        <v>0</v>
      </c>
      <c r="S2531" s="53">
        <f t="shared" si="151"/>
        <v>0</v>
      </c>
      <c r="T2531" s="53">
        <f t="shared" si="151"/>
        <v>0</v>
      </c>
      <c r="U2531" s="53">
        <f t="shared" si="151"/>
        <v>0</v>
      </c>
      <c r="W2531" s="160">
        <f t="shared" si="152"/>
        <v>0</v>
      </c>
      <c r="X2531" s="54">
        <f t="shared" si="153"/>
        <v>0</v>
      </c>
      <c r="Y2531" s="54">
        <f t="shared" si="154"/>
        <v>0</v>
      </c>
      <c r="Z2531" s="55" t="e">
        <f t="shared" si="155"/>
        <v>#DIV/0!</v>
      </c>
    </row>
    <row r="2532" spans="7:26">
      <c r="G2532" s="8"/>
      <c r="L2532" s="20"/>
      <c r="M2532" s="117" t="s">
        <v>436</v>
      </c>
      <c r="N2532" s="118" t="s">
        <v>68</v>
      </c>
      <c r="O2532" s="118" t="s">
        <v>49</v>
      </c>
      <c r="P2532" s="20"/>
      <c r="Q2532" s="53">
        <f t="shared" si="151"/>
        <v>0</v>
      </c>
      <c r="R2532" s="53">
        <f t="shared" si="151"/>
        <v>0</v>
      </c>
      <c r="S2532" s="53">
        <f t="shared" si="151"/>
        <v>0</v>
      </c>
      <c r="T2532" s="53">
        <f t="shared" si="151"/>
        <v>0</v>
      </c>
      <c r="U2532" s="53">
        <f t="shared" si="151"/>
        <v>0</v>
      </c>
      <c r="W2532" s="160">
        <f t="shared" si="152"/>
        <v>0</v>
      </c>
      <c r="X2532" s="54">
        <f t="shared" si="153"/>
        <v>0</v>
      </c>
      <c r="Y2532" s="54">
        <f t="shared" si="154"/>
        <v>0</v>
      </c>
      <c r="Z2532" s="55" t="e">
        <f t="shared" si="155"/>
        <v>#DIV/0!</v>
      </c>
    </row>
    <row r="2533" spans="7:26" ht="13">
      <c r="G2533" s="9"/>
      <c r="H2533" s="10"/>
      <c r="I2533" s="10"/>
      <c r="J2533" s="10"/>
      <c r="K2533" s="10"/>
      <c r="L2533" s="148"/>
      <c r="M2533" s="148"/>
      <c r="N2533" s="148"/>
      <c r="O2533" s="149"/>
      <c r="P2533" s="148"/>
      <c r="Q2533" s="26">
        <f>SUM(Q2511:Q2530)</f>
        <v>35719837</v>
      </c>
      <c r="R2533" s="26">
        <f>SUM(R2511:R2530)</f>
        <v>35719837</v>
      </c>
      <c r="S2533" s="26">
        <f>SUM(S2511:S2530)</f>
        <v>50921855</v>
      </c>
      <c r="T2533" s="26">
        <f>SUM(T2511:T2530)</f>
        <v>50921855</v>
      </c>
      <c r="U2533" s="26">
        <f>SUM(U2511:U2530)</f>
        <v>5710417.0019999994</v>
      </c>
      <c r="V2533" s="10"/>
      <c r="W2533" s="10"/>
      <c r="X2533" s="56"/>
      <c r="Y2533" s="56"/>
      <c r="Z2533" s="57"/>
    </row>
    <row r="2534" spans="7:26">
      <c r="L2534" s="20"/>
      <c r="M2534" s="20"/>
      <c r="N2534" s="20"/>
      <c r="O2534" s="20"/>
      <c r="P2534" s="20"/>
    </row>
    <row r="2535" spans="7:26">
      <c r="X2535" s="1"/>
      <c r="Y2535" s="1"/>
      <c r="Z2535" s="1"/>
    </row>
    <row r="2536" spans="7:26">
      <c r="G2536" s="4" t="s">
        <v>57</v>
      </c>
      <c r="H2536" s="5" t="s">
        <v>398</v>
      </c>
      <c r="I2536" s="5"/>
      <c r="J2536" s="5"/>
      <c r="K2536" s="5"/>
      <c r="L2536" s="150"/>
      <c r="M2536" s="151" t="s">
        <v>392</v>
      </c>
      <c r="N2536" s="152" t="s">
        <v>43</v>
      </c>
      <c r="O2536" s="152" t="s">
        <v>44</v>
      </c>
      <c r="P2536" s="5"/>
      <c r="Q2536" s="50">
        <f t="shared" ref="Q2536:U2538" si="156">SUMIFS(Q$7:Q$2428,$K$7:$K$2428, "&lt;4",$G$7:$G$2428,$G$2536,$N$7:$N$2428,$N2536)</f>
        <v>0</v>
      </c>
      <c r="R2536" s="50">
        <f t="shared" si="156"/>
        <v>0</v>
      </c>
      <c r="S2536" s="50">
        <f t="shared" si="156"/>
        <v>0</v>
      </c>
      <c r="T2536" s="159">
        <f t="shared" si="156"/>
        <v>0</v>
      </c>
      <c r="U2536" s="50">
        <f t="shared" si="156"/>
        <v>0</v>
      </c>
      <c r="V2536" s="5"/>
      <c r="W2536" s="159">
        <f t="shared" ref="W2536:W2548" si="157">SUMIFS(T$7:T$2428,$K$7:$K$2428, "&lt;4",$G$7:$G$2428,$G$2536,$N$7:$N$2428,$N2536, $W$7:$W$2428, "=x")</f>
        <v>0</v>
      </c>
      <c r="X2536" s="51">
        <f>SUMIFS(T$7:T$2428,U$7:U$2428, "&gt;0",$K$7:$K$2428, "&lt;4",$G$7:$G$2428,$G$2536,$N$7:$N$2428,$N2536)</f>
        <v>0</v>
      </c>
      <c r="Y2536" s="51">
        <f>SUMIFS(U$7:U$2428,U$7:U$2428, "&gt;0",$K$7:$K$2428, "&lt;4",$G$7:$G$2428,$G$2536,$N$7:$N$2428,$N2536)</f>
        <v>0</v>
      </c>
      <c r="Z2536" s="52" t="e">
        <f t="shared" ref="Z2536:Z2548" si="158">X2536/Y2536</f>
        <v>#DIV/0!</v>
      </c>
    </row>
    <row r="2537" spans="7:26">
      <c r="G2537" s="8"/>
      <c r="L2537" s="20"/>
      <c r="M2537" s="117" t="s">
        <v>393</v>
      </c>
      <c r="N2537" s="118" t="s">
        <v>48</v>
      </c>
      <c r="O2537" s="118" t="s">
        <v>44</v>
      </c>
      <c r="Q2537" s="53">
        <f t="shared" si="156"/>
        <v>0</v>
      </c>
      <c r="R2537" s="53">
        <f t="shared" si="156"/>
        <v>0</v>
      </c>
      <c r="S2537" s="53">
        <f t="shared" si="156"/>
        <v>0</v>
      </c>
      <c r="T2537" s="53">
        <f t="shared" si="156"/>
        <v>0</v>
      </c>
      <c r="U2537" s="53">
        <f t="shared" si="156"/>
        <v>0</v>
      </c>
      <c r="W2537" s="160">
        <f t="shared" si="157"/>
        <v>0</v>
      </c>
      <c r="X2537" s="54">
        <f>SUMIFS(T$7:T$2428,U$7:U$2428, "&gt;0",$K$7:$K$2428, "&lt;4",$G$7:$G$2428,$G$2536,$N$7:$N$2428,$N2537)</f>
        <v>0</v>
      </c>
      <c r="Y2537" s="54">
        <f>SUMIFS(U$7:U$2428,U$7:U$2428, "&gt;0",$K$7:$K$2428, "&lt;4",$G$7:$G$2428,$G$2536,$N$7:$N$2428,$N2537)</f>
        <v>0</v>
      </c>
      <c r="Z2537" s="55" t="e">
        <f t="shared" si="158"/>
        <v>#DIV/0!</v>
      </c>
    </row>
    <row r="2538" spans="7:26">
      <c r="G2538" s="8"/>
      <c r="L2538" s="20"/>
      <c r="M2538" s="117" t="s">
        <v>381</v>
      </c>
      <c r="N2538" s="118" t="s">
        <v>46</v>
      </c>
      <c r="O2538" s="118" t="s">
        <v>46</v>
      </c>
      <c r="Q2538" s="53">
        <f t="shared" si="156"/>
        <v>208370</v>
      </c>
      <c r="R2538" s="53">
        <f t="shared" si="156"/>
        <v>205634</v>
      </c>
      <c r="S2538" s="53">
        <f t="shared" si="156"/>
        <v>1194627</v>
      </c>
      <c r="T2538" s="160">
        <f t="shared" si="156"/>
        <v>1178440</v>
      </c>
      <c r="U2538" s="53">
        <f t="shared" si="156"/>
        <v>100352.412</v>
      </c>
      <c r="W2538" s="160">
        <f t="shared" si="157"/>
        <v>676984</v>
      </c>
      <c r="X2538" s="54">
        <f>SUMIFS(T$7:T$2428,U$7:U$2428, "&gt;0",$K$7:$K$2428, "&lt;4",$G$7:$G$2428,$G$2536,$N$7:$N$2428,$N2538)</f>
        <v>1178440</v>
      </c>
      <c r="Y2538" s="54">
        <f>SUMIFS(U$7:U$2428,U$7:U$2428, "&gt;0",$K$7:$K$2428, "&lt;4",$G$7:$G$2428,$G$2536,$N$7:$N$2428,$N2538)</f>
        <v>100352.412</v>
      </c>
      <c r="Z2538" s="55">
        <f t="shared" si="158"/>
        <v>11.743016201743114</v>
      </c>
    </row>
    <row r="2539" spans="7:26">
      <c r="G2539" s="8"/>
      <c r="K2539" s="607"/>
      <c r="L2539" s="626"/>
      <c r="M2539" s="622" t="s">
        <v>3078</v>
      </c>
      <c r="N2539" s="118" t="s">
        <v>39</v>
      </c>
      <c r="O2539" s="118" t="s">
        <v>39</v>
      </c>
      <c r="Q2539" s="53">
        <f>SUMIFS(Q$7:Q$2428,$K$7:$K$2428, "&lt;4",$G$7:$G$2428,$G$2536,$N$7:$N$2428,$N2539)-Q2614</f>
        <v>447309385</v>
      </c>
      <c r="R2539" s="53">
        <f>SUMIFS(R$7:R$2428,$K$7:$K$2428, "&lt;4",$G$7:$G$2428,$G$2536,$N$7:$N$2428,$N2539)-R2614</f>
        <v>424990882</v>
      </c>
      <c r="S2539" s="53">
        <f>SUMIFS(S$7:S$2428,$K$7:$K$2428, "&lt;4",$G$7:$G$2428,$G$2536,$N$7:$N$2428,$N2539)-S2614</f>
        <v>461591197</v>
      </c>
      <c r="T2539" s="160">
        <f>SUMIFS(T$7:T$2428,$K$7:$K$2428, "&lt;4",$G$7:$G$2428,$G$2536,$N$7:$N$2428,$N2539)-T2614</f>
        <v>438484780</v>
      </c>
      <c r="U2539" s="53">
        <f>SUMIFS(U$7:U$2428,$K$7:$K$2428, "&lt;4",$G$7:$G$2428,$G$2536,$N$7:$N$2428,$N2539)-U2614</f>
        <v>55081092.349999994</v>
      </c>
      <c r="V2539" s="607"/>
      <c r="W2539" s="160">
        <f t="shared" si="157"/>
        <v>299951726</v>
      </c>
      <c r="X2539" s="623">
        <f>SUMIFS(T$7:T$2428,U$7:U$2428, "&gt;0",$K$7:$K$2428, "&lt;4",$G$7:$G$2428,$G$2536,$N$7:$N$2428,$N2539)-X2614</f>
        <v>438484780</v>
      </c>
      <c r="Y2539" s="623">
        <f>SUMIFS(U$7:U$2428,U$7:U$2428, "&gt;0",$K$7:$K$2428, "&lt;4",$G$7:$G$2428,$G$2536,$N$7:$N$2428,$N2539)-Y2614</f>
        <v>55081092.349999994</v>
      </c>
      <c r="Z2539" s="624">
        <f t="shared" si="158"/>
        <v>7.9607132192250365</v>
      </c>
    </row>
    <row r="2540" spans="7:26">
      <c r="G2540" s="8"/>
      <c r="L2540" s="20"/>
      <c r="M2540" s="117" t="s">
        <v>394</v>
      </c>
      <c r="N2540" s="118" t="s">
        <v>17</v>
      </c>
      <c r="O2540" s="118" t="s">
        <v>82</v>
      </c>
      <c r="Q2540" s="53">
        <f t="shared" ref="Q2540:U2548" si="159">SUMIFS(Q$7:Q$2428,$K$7:$K$2428, "&lt;4",$G$7:$G$2428,$G$2536,$N$7:$N$2428,$N2540)</f>
        <v>1151368</v>
      </c>
      <c r="R2540" s="53">
        <f t="shared" si="159"/>
        <v>788287</v>
      </c>
      <c r="S2540" s="53">
        <f t="shared" si="159"/>
        <v>16315680</v>
      </c>
      <c r="T2540" s="53">
        <f t="shared" si="159"/>
        <v>11224073</v>
      </c>
      <c r="U2540" s="53">
        <f t="shared" si="159"/>
        <v>736252.375</v>
      </c>
      <c r="W2540" s="160">
        <f t="shared" si="157"/>
        <v>0</v>
      </c>
      <c r="X2540" s="54">
        <f t="shared" ref="X2540:X2548" si="160">SUMIFS(T$7:T$2428,U$7:U$2428, "&gt;0",$K$7:$K$2428, "&lt;4",$G$7:$G$2428,$G$2536,$N$7:$N$2428,$N2540)</f>
        <v>11224073</v>
      </c>
      <c r="Y2540" s="54">
        <f t="shared" ref="Y2540:Y2548" si="161">SUMIFS(U$7:U$2428,U$7:U$2428, "&gt;0",$K$7:$K$2428, "&lt;4",$G$7:$G$2428,$G$2536,$N$7:$N$2428,$N2540)</f>
        <v>736252.375</v>
      </c>
      <c r="Z2540" s="55">
        <f t="shared" si="158"/>
        <v>15.244871705846789</v>
      </c>
    </row>
    <row r="2541" spans="7:26">
      <c r="G2541" s="8"/>
      <c r="L2541" s="20"/>
      <c r="M2541" s="117" t="s">
        <v>395</v>
      </c>
      <c r="N2541" s="118" t="s">
        <v>82</v>
      </c>
      <c r="O2541" s="118" t="s">
        <v>82</v>
      </c>
      <c r="Q2541" s="53">
        <f t="shared" si="159"/>
        <v>0</v>
      </c>
      <c r="R2541" s="53">
        <f t="shared" si="159"/>
        <v>0</v>
      </c>
      <c r="S2541" s="53">
        <f t="shared" si="159"/>
        <v>0</v>
      </c>
      <c r="T2541" s="53">
        <f t="shared" si="159"/>
        <v>0</v>
      </c>
      <c r="U2541" s="53">
        <f t="shared" si="159"/>
        <v>0</v>
      </c>
      <c r="W2541" s="160">
        <f t="shared" si="157"/>
        <v>0</v>
      </c>
      <c r="X2541" s="54">
        <f t="shared" si="160"/>
        <v>0</v>
      </c>
      <c r="Y2541" s="54">
        <f t="shared" si="161"/>
        <v>0</v>
      </c>
      <c r="Z2541" s="55" t="e">
        <f t="shared" si="158"/>
        <v>#DIV/0!</v>
      </c>
    </row>
    <row r="2542" spans="7:26">
      <c r="G2542" s="8"/>
      <c r="L2542" s="20"/>
      <c r="M2542" s="117" t="s">
        <v>390</v>
      </c>
      <c r="N2542" s="118" t="s">
        <v>402</v>
      </c>
      <c r="O2542" s="118" t="s">
        <v>82</v>
      </c>
      <c r="Q2542" s="53">
        <f t="shared" si="159"/>
        <v>3066</v>
      </c>
      <c r="R2542" s="53">
        <f t="shared" si="159"/>
        <v>3066</v>
      </c>
      <c r="S2542" s="53">
        <f t="shared" si="159"/>
        <v>81402</v>
      </c>
      <c r="T2542" s="53">
        <f t="shared" si="159"/>
        <v>81402</v>
      </c>
      <c r="U2542" s="53">
        <f t="shared" si="159"/>
        <v>4402.4359999999997</v>
      </c>
      <c r="W2542" s="160">
        <f t="shared" si="157"/>
        <v>0</v>
      </c>
      <c r="X2542" s="54">
        <f t="shared" si="160"/>
        <v>81402</v>
      </c>
      <c r="Y2542" s="54">
        <f t="shared" si="161"/>
        <v>4402.4359999999997</v>
      </c>
      <c r="Z2542" s="55">
        <f t="shared" si="158"/>
        <v>18.490217688570603</v>
      </c>
    </row>
    <row r="2543" spans="7:26">
      <c r="G2543" s="8"/>
      <c r="L2543" s="20"/>
      <c r="M2543" s="117" t="s">
        <v>383</v>
      </c>
      <c r="N2543" s="118" t="s">
        <v>65</v>
      </c>
      <c r="O2543" s="118" t="s">
        <v>65</v>
      </c>
      <c r="Q2543" s="53">
        <f t="shared" si="159"/>
        <v>0</v>
      </c>
      <c r="R2543" s="53">
        <f t="shared" si="159"/>
        <v>0</v>
      </c>
      <c r="S2543" s="53">
        <f t="shared" si="159"/>
        <v>0</v>
      </c>
      <c r="T2543" s="53">
        <f t="shared" si="159"/>
        <v>0</v>
      </c>
      <c r="U2543" s="53">
        <f t="shared" si="159"/>
        <v>0</v>
      </c>
      <c r="W2543" s="160">
        <f t="shared" si="157"/>
        <v>0</v>
      </c>
      <c r="X2543" s="54">
        <f t="shared" si="160"/>
        <v>0</v>
      </c>
      <c r="Y2543" s="54">
        <f t="shared" si="161"/>
        <v>0</v>
      </c>
      <c r="Z2543" s="55" t="e">
        <f t="shared" si="158"/>
        <v>#DIV/0!</v>
      </c>
    </row>
    <row r="2544" spans="7:26">
      <c r="G2544" s="8"/>
      <c r="L2544" s="20"/>
      <c r="M2544" s="117" t="s">
        <v>382</v>
      </c>
      <c r="N2544" s="118" t="s">
        <v>61</v>
      </c>
      <c r="O2544" s="118" t="s">
        <v>61</v>
      </c>
      <c r="Q2544" s="53">
        <f t="shared" si="159"/>
        <v>845480</v>
      </c>
      <c r="R2544" s="53">
        <f t="shared" si="159"/>
        <v>845410</v>
      </c>
      <c r="S2544" s="53">
        <f t="shared" si="159"/>
        <v>5337642</v>
      </c>
      <c r="T2544" s="160">
        <f t="shared" si="159"/>
        <v>5337220</v>
      </c>
      <c r="U2544" s="53">
        <f t="shared" si="159"/>
        <v>473974.12599999999</v>
      </c>
      <c r="W2544" s="160">
        <f t="shared" si="157"/>
        <v>5238183</v>
      </c>
      <c r="X2544" s="54">
        <f t="shared" si="160"/>
        <v>5337220</v>
      </c>
      <c r="Y2544" s="54">
        <f t="shared" si="161"/>
        <v>473974.12599999999</v>
      </c>
      <c r="Z2544" s="55">
        <f t="shared" si="158"/>
        <v>11.260572481123157</v>
      </c>
    </row>
    <row r="2545" spans="7:26">
      <c r="G2545" s="8"/>
      <c r="L2545" s="20"/>
      <c r="M2545" s="117" t="s">
        <v>384</v>
      </c>
      <c r="N2545" s="118" t="s">
        <v>66</v>
      </c>
      <c r="O2545" s="118" t="s">
        <v>67</v>
      </c>
      <c r="Q2545" s="53">
        <f t="shared" si="159"/>
        <v>0</v>
      </c>
      <c r="R2545" s="53">
        <f t="shared" si="159"/>
        <v>0</v>
      </c>
      <c r="S2545" s="53">
        <f t="shared" si="159"/>
        <v>0</v>
      </c>
      <c r="T2545" s="53">
        <f t="shared" si="159"/>
        <v>0</v>
      </c>
      <c r="U2545" s="53">
        <f t="shared" si="159"/>
        <v>0</v>
      </c>
      <c r="W2545" s="160">
        <f t="shared" si="157"/>
        <v>0</v>
      </c>
      <c r="X2545" s="54">
        <f t="shared" si="160"/>
        <v>0</v>
      </c>
      <c r="Y2545" s="54">
        <f t="shared" si="161"/>
        <v>0</v>
      </c>
      <c r="Z2545" s="55" t="e">
        <f t="shared" si="158"/>
        <v>#DIV/0!</v>
      </c>
    </row>
    <row r="2546" spans="7:26">
      <c r="G2546" s="8"/>
      <c r="L2546" s="20"/>
      <c r="M2546" s="117" t="s">
        <v>385</v>
      </c>
      <c r="N2546" s="118" t="s">
        <v>76</v>
      </c>
      <c r="O2546" s="118" t="s">
        <v>67</v>
      </c>
      <c r="Q2546" s="53">
        <f t="shared" si="159"/>
        <v>220439</v>
      </c>
      <c r="R2546" s="53">
        <f t="shared" si="159"/>
        <v>220439</v>
      </c>
      <c r="S2546" s="53">
        <f t="shared" si="159"/>
        <v>1251595</v>
      </c>
      <c r="T2546" s="160">
        <f t="shared" si="159"/>
        <v>1251595</v>
      </c>
      <c r="U2546" s="53">
        <f t="shared" si="159"/>
        <v>103851.03799999999</v>
      </c>
      <c r="W2546" s="160">
        <f t="shared" si="157"/>
        <v>1219085</v>
      </c>
      <c r="X2546" s="54">
        <f t="shared" si="160"/>
        <v>1251595</v>
      </c>
      <c r="Y2546" s="54">
        <f t="shared" si="161"/>
        <v>103851.03799999999</v>
      </c>
      <c r="Z2546" s="55">
        <f t="shared" si="158"/>
        <v>12.051829467510958</v>
      </c>
    </row>
    <row r="2547" spans="7:26">
      <c r="G2547" s="8"/>
      <c r="L2547" s="20"/>
      <c r="M2547" s="117" t="s">
        <v>386</v>
      </c>
      <c r="N2547" s="118" t="s">
        <v>73</v>
      </c>
      <c r="O2547" s="118" t="s">
        <v>67</v>
      </c>
      <c r="Q2547" s="53">
        <f t="shared" si="159"/>
        <v>0</v>
      </c>
      <c r="R2547" s="53">
        <f t="shared" si="159"/>
        <v>0</v>
      </c>
      <c r="S2547" s="53">
        <f t="shared" si="159"/>
        <v>0</v>
      </c>
      <c r="T2547" s="53">
        <f t="shared" si="159"/>
        <v>0</v>
      </c>
      <c r="U2547" s="53">
        <f t="shared" si="159"/>
        <v>0</v>
      </c>
      <c r="W2547" s="160">
        <f t="shared" si="157"/>
        <v>0</v>
      </c>
      <c r="X2547" s="54">
        <f t="shared" si="160"/>
        <v>0</v>
      </c>
      <c r="Y2547" s="54">
        <f t="shared" si="161"/>
        <v>0</v>
      </c>
      <c r="Z2547" s="55" t="e">
        <f t="shared" si="158"/>
        <v>#DIV/0!</v>
      </c>
    </row>
    <row r="2548" spans="7:26">
      <c r="G2548" s="8"/>
      <c r="L2548" s="20"/>
      <c r="M2548" s="117" t="s">
        <v>435</v>
      </c>
      <c r="N2548" s="118" t="s">
        <v>426</v>
      </c>
      <c r="O2548" s="118" t="s">
        <v>427</v>
      </c>
      <c r="Q2548" s="53">
        <f t="shared" si="159"/>
        <v>4021</v>
      </c>
      <c r="R2548" s="53">
        <f t="shared" si="159"/>
        <v>4021</v>
      </c>
      <c r="S2548" s="53">
        <f t="shared" si="159"/>
        <v>10057</v>
      </c>
      <c r="T2548" s="53">
        <f t="shared" si="159"/>
        <v>10057</v>
      </c>
      <c r="U2548" s="53">
        <f t="shared" si="159"/>
        <v>561.39099999999996</v>
      </c>
      <c r="W2548" s="160">
        <f t="shared" si="157"/>
        <v>0</v>
      </c>
      <c r="X2548" s="54">
        <f t="shared" si="160"/>
        <v>10057</v>
      </c>
      <c r="Y2548" s="54">
        <f t="shared" si="161"/>
        <v>561.39099999999996</v>
      </c>
      <c r="Z2548" s="55">
        <f t="shared" si="158"/>
        <v>17.914430405902483</v>
      </c>
    </row>
    <row r="2549" spans="7:26">
      <c r="G2549" s="8"/>
      <c r="L2549" s="20"/>
      <c r="M2549" s="20"/>
      <c r="N2549" s="20"/>
      <c r="O2549" s="20"/>
      <c r="Q2549"/>
      <c r="R2549"/>
      <c r="S2549"/>
      <c r="T2549"/>
      <c r="U2549"/>
      <c r="Z2549" s="58"/>
    </row>
    <row r="2550" spans="7:26">
      <c r="G2550" s="8"/>
      <c r="H2550" t="s">
        <v>397</v>
      </c>
      <c r="L2550" s="20"/>
      <c r="M2550" s="117" t="s">
        <v>388</v>
      </c>
      <c r="N2550" s="118" t="s">
        <v>63</v>
      </c>
      <c r="O2550" s="118" t="s">
        <v>64</v>
      </c>
      <c r="Q2550" s="53">
        <f t="shared" ref="Q2550:U2557" si="162">SUMIFS(Q$7:Q$2428,$K$7:$K$2428, "&lt;4",$G$7:$G$2428,$G$2536,$N$7:$N$2428,$N2550)</f>
        <v>15347605</v>
      </c>
      <c r="R2550" s="53">
        <f t="shared" si="162"/>
        <v>15347605</v>
      </c>
      <c r="S2550" s="53">
        <f t="shared" si="162"/>
        <v>7707454</v>
      </c>
      <c r="T2550" s="53">
        <f t="shared" si="162"/>
        <v>7707454</v>
      </c>
      <c r="U2550" s="53">
        <f t="shared" si="162"/>
        <v>654861</v>
      </c>
      <c r="W2550" s="160">
        <f t="shared" ref="W2550:W2557" si="163">SUMIFS(T$7:T$2428,$K$7:$K$2428, "&lt;4",$G$7:$G$2428,$G$2536,$N$7:$N$2428,$N2550, $W$7:$W$2428, "=x")</f>
        <v>0</v>
      </c>
      <c r="X2550" s="54">
        <f t="shared" ref="X2550:X2557" si="164">SUMIFS(T$7:T$2428,U$7:U$2428, "&gt;0",$K$7:$K$2428, "&lt;4",$G$7:$G$2428,$G$2536,$N$7:$N$2428,$N2550)</f>
        <v>7707454</v>
      </c>
      <c r="Y2550" s="54">
        <f t="shared" ref="Y2550:Y2557" si="165">SUMIFS(U$7:U$2428,U$7:U$2428, "&gt;0",$K$7:$K$2428, "&lt;4",$G$7:$G$2428,$G$2536,$N$7:$N$2428,$N2550)</f>
        <v>654861</v>
      </c>
      <c r="Z2550" s="55">
        <f t="shared" ref="Z2550:Z2557" si="166">X2550/Y2550</f>
        <v>11.769603014990967</v>
      </c>
    </row>
    <row r="2551" spans="7:26">
      <c r="G2551" s="8"/>
      <c r="L2551" s="20"/>
      <c r="M2551" s="117" t="s">
        <v>391</v>
      </c>
      <c r="N2551" s="118" t="s">
        <v>16</v>
      </c>
      <c r="O2551" s="118" t="s">
        <v>64</v>
      </c>
      <c r="Q2551" s="53">
        <f t="shared" si="162"/>
        <v>1800865</v>
      </c>
      <c r="R2551" s="53">
        <f t="shared" si="162"/>
        <v>1232967</v>
      </c>
      <c r="S2551" s="53">
        <f t="shared" si="162"/>
        <v>13349128</v>
      </c>
      <c r="T2551" s="53">
        <f t="shared" si="162"/>
        <v>9183243</v>
      </c>
      <c r="U2551" s="53">
        <f t="shared" si="162"/>
        <v>602383.41200000001</v>
      </c>
      <c r="W2551" s="160">
        <f t="shared" si="163"/>
        <v>0</v>
      </c>
      <c r="X2551" s="54">
        <f t="shared" si="164"/>
        <v>9183243</v>
      </c>
      <c r="Y2551" s="54">
        <f t="shared" si="165"/>
        <v>602383.41200000001</v>
      </c>
      <c r="Z2551" s="55">
        <f t="shared" si="166"/>
        <v>15.244847080882101</v>
      </c>
    </row>
    <row r="2552" spans="7:26">
      <c r="G2552" s="8"/>
      <c r="L2552" s="20"/>
      <c r="M2552" s="117" t="s">
        <v>387</v>
      </c>
      <c r="N2552" s="118" t="s">
        <v>154</v>
      </c>
      <c r="O2552" s="118" t="s">
        <v>70</v>
      </c>
      <c r="Q2552" s="53">
        <f t="shared" si="162"/>
        <v>0</v>
      </c>
      <c r="R2552" s="53">
        <f t="shared" si="162"/>
        <v>0</v>
      </c>
      <c r="S2552" s="53">
        <f t="shared" si="162"/>
        <v>0</v>
      </c>
      <c r="T2552" s="53">
        <f t="shared" si="162"/>
        <v>0</v>
      </c>
      <c r="U2552" s="53">
        <f t="shared" si="162"/>
        <v>0</v>
      </c>
      <c r="W2552" s="160">
        <f t="shared" si="163"/>
        <v>0</v>
      </c>
      <c r="X2552" s="54">
        <f t="shared" si="164"/>
        <v>0</v>
      </c>
      <c r="Y2552" s="54">
        <f t="shared" si="165"/>
        <v>0</v>
      </c>
      <c r="Z2552" s="55" t="e">
        <f t="shared" si="166"/>
        <v>#DIV/0!</v>
      </c>
    </row>
    <row r="2553" spans="7:26">
      <c r="G2553" s="8"/>
      <c r="L2553" s="20"/>
      <c r="M2553" s="117" t="s">
        <v>396</v>
      </c>
      <c r="N2553" s="118" t="s">
        <v>69</v>
      </c>
      <c r="O2553" s="118" t="s">
        <v>70</v>
      </c>
      <c r="Q2553" s="53">
        <f t="shared" si="162"/>
        <v>516819</v>
      </c>
      <c r="R2553" s="53">
        <f t="shared" si="162"/>
        <v>516819</v>
      </c>
      <c r="S2553" s="53">
        <f t="shared" si="162"/>
        <v>5426603</v>
      </c>
      <c r="T2553" s="53">
        <f t="shared" si="162"/>
        <v>5426603</v>
      </c>
      <c r="U2553" s="53">
        <f t="shared" si="162"/>
        <v>291856.63</v>
      </c>
      <c r="W2553" s="160">
        <f t="shared" si="163"/>
        <v>0</v>
      </c>
      <c r="X2553" s="54">
        <f t="shared" si="164"/>
        <v>5426603</v>
      </c>
      <c r="Y2553" s="54">
        <f t="shared" si="165"/>
        <v>291856.63</v>
      </c>
      <c r="Z2553" s="55">
        <f t="shared" si="166"/>
        <v>18.5933860745257</v>
      </c>
    </row>
    <row r="2554" spans="7:26">
      <c r="G2554" s="8"/>
      <c r="L2554" s="20"/>
      <c r="M2554" s="117" t="s">
        <v>389</v>
      </c>
      <c r="N2554" s="118" t="s">
        <v>155</v>
      </c>
      <c r="O2554" s="118" t="s">
        <v>49</v>
      </c>
      <c r="Q2554" s="53">
        <f t="shared" si="162"/>
        <v>0</v>
      </c>
      <c r="R2554" s="53">
        <f t="shared" si="162"/>
        <v>0</v>
      </c>
      <c r="S2554" s="53">
        <f t="shared" si="162"/>
        <v>0</v>
      </c>
      <c r="T2554" s="53">
        <f t="shared" si="162"/>
        <v>0</v>
      </c>
      <c r="U2554" s="53">
        <f t="shared" si="162"/>
        <v>0</v>
      </c>
      <c r="W2554" s="160">
        <f t="shared" si="163"/>
        <v>0</v>
      </c>
      <c r="X2554" s="54">
        <f t="shared" si="164"/>
        <v>0</v>
      </c>
      <c r="Y2554" s="54">
        <f t="shared" si="165"/>
        <v>0</v>
      </c>
      <c r="Z2554" s="55" t="e">
        <f>X2554/Y2554</f>
        <v>#DIV/0!</v>
      </c>
    </row>
    <row r="2555" spans="7:26">
      <c r="G2555" s="8"/>
      <c r="L2555" s="20"/>
      <c r="M2555" s="117" t="s">
        <v>437</v>
      </c>
      <c r="N2555" s="118" t="s">
        <v>419</v>
      </c>
      <c r="O2555" s="118" t="s">
        <v>49</v>
      </c>
      <c r="Q2555" s="53">
        <f t="shared" si="162"/>
        <v>0</v>
      </c>
      <c r="R2555" s="53">
        <f t="shared" si="162"/>
        <v>0</v>
      </c>
      <c r="S2555" s="53">
        <f t="shared" si="162"/>
        <v>0</v>
      </c>
      <c r="T2555" s="53">
        <f t="shared" si="162"/>
        <v>0</v>
      </c>
      <c r="U2555" s="53">
        <f t="shared" si="162"/>
        <v>0</v>
      </c>
      <c r="W2555" s="160">
        <f t="shared" si="163"/>
        <v>0</v>
      </c>
      <c r="X2555" s="54">
        <f t="shared" si="164"/>
        <v>0</v>
      </c>
      <c r="Y2555" s="54">
        <f t="shared" si="165"/>
        <v>0</v>
      </c>
      <c r="Z2555" s="55" t="e">
        <f t="shared" si="166"/>
        <v>#DIV/0!</v>
      </c>
    </row>
    <row r="2556" spans="7:26">
      <c r="G2556" s="8"/>
      <c r="L2556" s="20"/>
      <c r="M2556" s="117" t="s">
        <v>2508</v>
      </c>
      <c r="N2556" s="118" t="s">
        <v>424</v>
      </c>
      <c r="O2556" s="118" t="s">
        <v>49</v>
      </c>
      <c r="Q2556" s="53">
        <f t="shared" si="162"/>
        <v>0</v>
      </c>
      <c r="R2556" s="53">
        <f t="shared" si="162"/>
        <v>0</v>
      </c>
      <c r="S2556" s="53">
        <f t="shared" si="162"/>
        <v>0</v>
      </c>
      <c r="T2556" s="53">
        <f t="shared" si="162"/>
        <v>0</v>
      </c>
      <c r="U2556" s="53">
        <f t="shared" si="162"/>
        <v>0</v>
      </c>
      <c r="W2556" s="160">
        <f t="shared" si="163"/>
        <v>0</v>
      </c>
      <c r="X2556" s="54">
        <f t="shared" si="164"/>
        <v>0</v>
      </c>
      <c r="Y2556" s="54">
        <f t="shared" si="165"/>
        <v>0</v>
      </c>
      <c r="Z2556" s="55" t="e">
        <f>X2556/Y2556</f>
        <v>#DIV/0!</v>
      </c>
    </row>
    <row r="2557" spans="7:26">
      <c r="G2557" s="8"/>
      <c r="L2557" s="20"/>
      <c r="M2557" s="117" t="s">
        <v>436</v>
      </c>
      <c r="N2557" s="118" t="s">
        <v>68</v>
      </c>
      <c r="O2557" s="118" t="s">
        <v>49</v>
      </c>
      <c r="Q2557" s="53">
        <f t="shared" si="162"/>
        <v>0</v>
      </c>
      <c r="R2557" s="53">
        <f t="shared" si="162"/>
        <v>0</v>
      </c>
      <c r="S2557" s="53">
        <f t="shared" si="162"/>
        <v>0</v>
      </c>
      <c r="T2557" s="53">
        <f t="shared" si="162"/>
        <v>0</v>
      </c>
      <c r="U2557" s="53">
        <f t="shared" si="162"/>
        <v>0</v>
      </c>
      <c r="W2557" s="160">
        <f t="shared" si="163"/>
        <v>0</v>
      </c>
      <c r="X2557" s="54">
        <f t="shared" si="164"/>
        <v>0</v>
      </c>
      <c r="Y2557" s="54">
        <f t="shared" si="165"/>
        <v>0</v>
      </c>
      <c r="Z2557" s="55" t="e">
        <f t="shared" si="166"/>
        <v>#DIV/0!</v>
      </c>
    </row>
    <row r="2558" spans="7:26" ht="13">
      <c r="G2558" s="9"/>
      <c r="H2558" s="10"/>
      <c r="I2558" s="10"/>
      <c r="J2558" s="10"/>
      <c r="K2558" s="10"/>
      <c r="L2558" s="10"/>
      <c r="M2558" s="10"/>
      <c r="N2558" s="10"/>
      <c r="O2558" s="11"/>
      <c r="P2558" s="10"/>
      <c r="Q2558" s="26">
        <f>SUM(Q2536:Q2557)</f>
        <v>467407418</v>
      </c>
      <c r="R2558" s="26">
        <f>SUM(R2536:R2557)</f>
        <v>444155130</v>
      </c>
      <c r="S2558" s="26">
        <f>SUM(S2536:S2557)</f>
        <v>512265385</v>
      </c>
      <c r="T2558" s="26">
        <f>SUM(T2536:T2557)</f>
        <v>479884867</v>
      </c>
      <c r="U2558" s="27">
        <f>SUM(U2536:U2557)</f>
        <v>58049587.170000002</v>
      </c>
      <c r="V2558" s="10"/>
      <c r="W2558" s="10"/>
      <c r="X2558" s="56"/>
      <c r="Y2558" s="56"/>
      <c r="Z2558" s="57"/>
    </row>
    <row r="2560" spans="7:26">
      <c r="X2560" s="1"/>
      <c r="Y2560" s="1"/>
      <c r="Z2560" s="1"/>
    </row>
    <row r="2561" spans="7:26">
      <c r="G2561" s="4" t="s">
        <v>131</v>
      </c>
      <c r="H2561" s="5" t="s">
        <v>398</v>
      </c>
      <c r="I2561" s="5"/>
      <c r="J2561" s="5"/>
      <c r="K2561" s="5"/>
      <c r="L2561" s="150"/>
      <c r="M2561" s="151" t="s">
        <v>392</v>
      </c>
      <c r="N2561" s="152" t="s">
        <v>43</v>
      </c>
      <c r="O2561" s="152" t="s">
        <v>44</v>
      </c>
      <c r="P2561" s="5"/>
      <c r="Q2561" s="50">
        <f t="shared" ref="Q2561:U2573" si="167">SUMIFS(Q$7:Q$2428,$K$7:$K$2428, "&lt;4",$G$7:$G$2428,$G$2561,$N$7:$N$2428,$N2561)</f>
        <v>0</v>
      </c>
      <c r="R2561" s="50">
        <f t="shared" si="167"/>
        <v>0</v>
      </c>
      <c r="S2561" s="50">
        <f t="shared" si="167"/>
        <v>0</v>
      </c>
      <c r="T2561" s="50">
        <f t="shared" si="167"/>
        <v>0</v>
      </c>
      <c r="U2561" s="50">
        <f t="shared" si="167"/>
        <v>0</v>
      </c>
      <c r="V2561" s="5"/>
      <c r="W2561" s="159">
        <f t="shared" ref="W2561:W2573" si="168">SUMIFS(T$7:T$2428,$K$7:$K$2428, "&lt;4",$G$7:$G$2428,$G$2561,$N$7:$N$2428,$N2561, $W$7:$W$2428, "=x")</f>
        <v>0</v>
      </c>
      <c r="X2561" s="51">
        <f t="shared" ref="X2561:X2573" si="169">SUMIFS(T$7:T$2428,U$7:U$2428, "&gt;0",$K$7:$K$2428, "&lt;4",$G$7:$G$2428,$G$2561,$N$7:$N$2428,$N2561)</f>
        <v>0</v>
      </c>
      <c r="Y2561" s="51">
        <f t="shared" ref="Y2561:Y2573" si="170">SUMIFS(U$7:U$2428,U$7:U$2428, "&gt;0",$K$7:$K$2428, "&lt;4",$G$7:$G$2428,$G$2561,$N$7:$N$2428,$N2561)</f>
        <v>0</v>
      </c>
      <c r="Z2561" s="52" t="e">
        <f t="shared" ref="Z2561:Z2573" si="171">X2561/Y2561</f>
        <v>#DIV/0!</v>
      </c>
    </row>
    <row r="2562" spans="7:26">
      <c r="G2562" s="8"/>
      <c r="L2562" s="20"/>
      <c r="M2562" s="117" t="s">
        <v>393</v>
      </c>
      <c r="N2562" s="118" t="s">
        <v>48</v>
      </c>
      <c r="O2562" s="118" t="s">
        <v>44</v>
      </c>
      <c r="Q2562" s="53">
        <f t="shared" si="167"/>
        <v>0</v>
      </c>
      <c r="R2562" s="53">
        <f t="shared" si="167"/>
        <v>0</v>
      </c>
      <c r="S2562" s="53">
        <f t="shared" si="167"/>
        <v>0</v>
      </c>
      <c r="T2562" s="53">
        <f t="shared" si="167"/>
        <v>0</v>
      </c>
      <c r="U2562" s="53">
        <f t="shared" si="167"/>
        <v>0</v>
      </c>
      <c r="W2562" s="160">
        <f t="shared" si="168"/>
        <v>0</v>
      </c>
      <c r="X2562" s="54">
        <f t="shared" si="169"/>
        <v>0</v>
      </c>
      <c r="Y2562" s="54">
        <f t="shared" si="170"/>
        <v>0</v>
      </c>
      <c r="Z2562" s="55" t="e">
        <f t="shared" si="171"/>
        <v>#DIV/0!</v>
      </c>
    </row>
    <row r="2563" spans="7:26">
      <c r="G2563" s="8"/>
      <c r="L2563" s="20"/>
      <c r="M2563" s="117" t="s">
        <v>381</v>
      </c>
      <c r="N2563" s="118" t="s">
        <v>46</v>
      </c>
      <c r="O2563" s="118" t="s">
        <v>46</v>
      </c>
      <c r="Q2563" s="53">
        <f t="shared" si="167"/>
        <v>16499</v>
      </c>
      <c r="R2563" s="53">
        <f t="shared" si="167"/>
        <v>16499</v>
      </c>
      <c r="S2563" s="53">
        <f t="shared" si="167"/>
        <v>95000</v>
      </c>
      <c r="T2563" s="160">
        <f t="shared" si="167"/>
        <v>95000</v>
      </c>
      <c r="U2563" s="53">
        <f t="shared" si="167"/>
        <v>10257.493</v>
      </c>
      <c r="W2563" s="160">
        <f t="shared" si="168"/>
        <v>94970</v>
      </c>
      <c r="X2563" s="54">
        <f t="shared" si="169"/>
        <v>95000</v>
      </c>
      <c r="Y2563" s="54">
        <f t="shared" si="170"/>
        <v>10257.493</v>
      </c>
      <c r="Z2563" s="55">
        <f t="shared" si="171"/>
        <v>9.2615222842462579</v>
      </c>
    </row>
    <row r="2564" spans="7:26">
      <c r="G2564" s="8"/>
      <c r="L2564" s="20"/>
      <c r="M2564" s="117" t="s">
        <v>380</v>
      </c>
      <c r="N2564" s="118" t="s">
        <v>39</v>
      </c>
      <c r="O2564" s="118" t="s">
        <v>39</v>
      </c>
      <c r="Q2564" s="53">
        <f t="shared" si="167"/>
        <v>61918207</v>
      </c>
      <c r="R2564" s="53">
        <f t="shared" si="167"/>
        <v>61918207</v>
      </c>
      <c r="S2564" s="53">
        <f t="shared" si="167"/>
        <v>63694625</v>
      </c>
      <c r="T2564" s="160">
        <f t="shared" si="167"/>
        <v>63694625</v>
      </c>
      <c r="U2564" s="53">
        <f t="shared" si="167"/>
        <v>8439220.5199999996</v>
      </c>
      <c r="W2564" s="160">
        <f t="shared" si="168"/>
        <v>63694625</v>
      </c>
      <c r="X2564" s="54">
        <f t="shared" si="169"/>
        <v>63694625</v>
      </c>
      <c r="Y2564" s="54">
        <f t="shared" si="170"/>
        <v>8439220.5199999996</v>
      </c>
      <c r="Z2564" s="55">
        <f t="shared" si="171"/>
        <v>7.547453565059822</v>
      </c>
    </row>
    <row r="2565" spans="7:26">
      <c r="G2565" s="8"/>
      <c r="L2565" s="20"/>
      <c r="M2565" s="117" t="s">
        <v>394</v>
      </c>
      <c r="N2565" s="118" t="s">
        <v>17</v>
      </c>
      <c r="O2565" s="118" t="s">
        <v>82</v>
      </c>
      <c r="Q2565" s="53">
        <f t="shared" si="167"/>
        <v>0</v>
      </c>
      <c r="R2565" s="53">
        <f t="shared" si="167"/>
        <v>0</v>
      </c>
      <c r="S2565" s="53">
        <f t="shared" si="167"/>
        <v>0</v>
      </c>
      <c r="T2565" s="53">
        <f t="shared" si="167"/>
        <v>0</v>
      </c>
      <c r="U2565" s="53">
        <f t="shared" si="167"/>
        <v>0</v>
      </c>
      <c r="W2565" s="160">
        <f t="shared" si="168"/>
        <v>0</v>
      </c>
      <c r="X2565" s="54">
        <f t="shared" si="169"/>
        <v>0</v>
      </c>
      <c r="Y2565" s="54">
        <f t="shared" si="170"/>
        <v>0</v>
      </c>
      <c r="Z2565" s="55" t="e">
        <f t="shared" si="171"/>
        <v>#DIV/0!</v>
      </c>
    </row>
    <row r="2566" spans="7:26">
      <c r="G2566" s="8"/>
      <c r="L2566" s="20"/>
      <c r="M2566" s="117" t="s">
        <v>395</v>
      </c>
      <c r="N2566" s="118" t="s">
        <v>82</v>
      </c>
      <c r="O2566" s="118" t="s">
        <v>82</v>
      </c>
      <c r="Q2566" s="53">
        <f t="shared" si="167"/>
        <v>0</v>
      </c>
      <c r="R2566" s="53">
        <f t="shared" si="167"/>
        <v>0</v>
      </c>
      <c r="S2566" s="53">
        <f t="shared" si="167"/>
        <v>0</v>
      </c>
      <c r="T2566" s="53">
        <f t="shared" si="167"/>
        <v>0</v>
      </c>
      <c r="U2566" s="53">
        <f t="shared" si="167"/>
        <v>0</v>
      </c>
      <c r="W2566" s="160">
        <f t="shared" si="168"/>
        <v>0</v>
      </c>
      <c r="X2566" s="54">
        <f t="shared" si="169"/>
        <v>0</v>
      </c>
      <c r="Y2566" s="54">
        <f t="shared" si="170"/>
        <v>0</v>
      </c>
      <c r="Z2566" s="55" t="e">
        <f t="shared" si="171"/>
        <v>#DIV/0!</v>
      </c>
    </row>
    <row r="2567" spans="7:26">
      <c r="G2567" s="8"/>
      <c r="L2567" s="20"/>
      <c r="M2567" s="117" t="s">
        <v>390</v>
      </c>
      <c r="N2567" s="118" t="s">
        <v>402</v>
      </c>
      <c r="O2567" s="118" t="s">
        <v>82</v>
      </c>
      <c r="Q2567" s="53">
        <f t="shared" si="167"/>
        <v>0</v>
      </c>
      <c r="R2567" s="53">
        <f t="shared" si="167"/>
        <v>0</v>
      </c>
      <c r="S2567" s="53">
        <f t="shared" si="167"/>
        <v>0</v>
      </c>
      <c r="T2567" s="53">
        <f t="shared" si="167"/>
        <v>0</v>
      </c>
      <c r="U2567" s="53">
        <f t="shared" si="167"/>
        <v>0</v>
      </c>
      <c r="W2567" s="160">
        <f t="shared" si="168"/>
        <v>0</v>
      </c>
      <c r="X2567" s="54">
        <f t="shared" si="169"/>
        <v>0</v>
      </c>
      <c r="Y2567" s="54">
        <f t="shared" si="170"/>
        <v>0</v>
      </c>
      <c r="Z2567" s="55" t="e">
        <f t="shared" si="171"/>
        <v>#DIV/0!</v>
      </c>
    </row>
    <row r="2568" spans="7:26">
      <c r="G2568" s="8"/>
      <c r="L2568" s="20"/>
      <c r="M2568" s="117" t="s">
        <v>383</v>
      </c>
      <c r="N2568" s="118" t="s">
        <v>65</v>
      </c>
      <c r="O2568" s="118" t="s">
        <v>65</v>
      </c>
      <c r="Q2568" s="53">
        <f t="shared" si="167"/>
        <v>0</v>
      </c>
      <c r="R2568" s="53">
        <f t="shared" si="167"/>
        <v>0</v>
      </c>
      <c r="S2568" s="53">
        <f t="shared" si="167"/>
        <v>0</v>
      </c>
      <c r="T2568" s="53">
        <f t="shared" si="167"/>
        <v>0</v>
      </c>
      <c r="U2568" s="53">
        <f t="shared" si="167"/>
        <v>0</v>
      </c>
      <c r="W2568" s="160">
        <f t="shared" si="168"/>
        <v>0</v>
      </c>
      <c r="X2568" s="54">
        <f t="shared" si="169"/>
        <v>0</v>
      </c>
      <c r="Y2568" s="54">
        <f t="shared" si="170"/>
        <v>0</v>
      </c>
      <c r="Z2568" s="55" t="e">
        <f t="shared" si="171"/>
        <v>#DIV/0!</v>
      </c>
    </row>
    <row r="2569" spans="7:26">
      <c r="G2569" s="8"/>
      <c r="L2569" s="20"/>
      <c r="M2569" s="117" t="s">
        <v>382</v>
      </c>
      <c r="N2569" s="118" t="s">
        <v>61</v>
      </c>
      <c r="O2569" s="118" t="s">
        <v>61</v>
      </c>
      <c r="Q2569" s="53">
        <f t="shared" si="167"/>
        <v>0</v>
      </c>
      <c r="R2569" s="53">
        <f t="shared" si="167"/>
        <v>0</v>
      </c>
      <c r="S2569" s="53">
        <f t="shared" si="167"/>
        <v>0</v>
      </c>
      <c r="T2569" s="53">
        <f t="shared" si="167"/>
        <v>0</v>
      </c>
      <c r="U2569" s="53">
        <f t="shared" si="167"/>
        <v>0</v>
      </c>
      <c r="W2569" s="160">
        <f t="shared" si="168"/>
        <v>0</v>
      </c>
      <c r="X2569" s="54">
        <f t="shared" si="169"/>
        <v>0</v>
      </c>
      <c r="Y2569" s="54">
        <f t="shared" si="170"/>
        <v>0</v>
      </c>
      <c r="Z2569" s="55" t="e">
        <f t="shared" si="171"/>
        <v>#DIV/0!</v>
      </c>
    </row>
    <row r="2570" spans="7:26">
      <c r="G2570" s="8"/>
      <c r="L2570" s="20"/>
      <c r="M2570" s="117" t="s">
        <v>384</v>
      </c>
      <c r="N2570" s="118" t="s">
        <v>66</v>
      </c>
      <c r="O2570" s="118" t="s">
        <v>67</v>
      </c>
      <c r="Q2570" s="53">
        <f t="shared" si="167"/>
        <v>0</v>
      </c>
      <c r="R2570" s="53">
        <f t="shared" si="167"/>
        <v>0</v>
      </c>
      <c r="S2570" s="53">
        <f t="shared" si="167"/>
        <v>0</v>
      </c>
      <c r="T2570" s="53">
        <f t="shared" si="167"/>
        <v>0</v>
      </c>
      <c r="U2570" s="53">
        <f t="shared" si="167"/>
        <v>0</v>
      </c>
      <c r="W2570" s="160">
        <f t="shared" si="168"/>
        <v>0</v>
      </c>
      <c r="X2570" s="54">
        <f t="shared" si="169"/>
        <v>0</v>
      </c>
      <c r="Y2570" s="54">
        <f t="shared" si="170"/>
        <v>0</v>
      </c>
      <c r="Z2570" s="55" t="e">
        <f t="shared" si="171"/>
        <v>#DIV/0!</v>
      </c>
    </row>
    <row r="2571" spans="7:26">
      <c r="G2571" s="8"/>
      <c r="L2571" s="20"/>
      <c r="M2571" s="117" t="s">
        <v>385</v>
      </c>
      <c r="N2571" s="118" t="s">
        <v>76</v>
      </c>
      <c r="O2571" s="118" t="s">
        <v>67</v>
      </c>
      <c r="Q2571" s="53">
        <f t="shared" si="167"/>
        <v>0</v>
      </c>
      <c r="R2571" s="53">
        <f t="shared" si="167"/>
        <v>0</v>
      </c>
      <c r="S2571" s="53">
        <f t="shared" si="167"/>
        <v>0</v>
      </c>
      <c r="T2571" s="53">
        <f t="shared" si="167"/>
        <v>0</v>
      </c>
      <c r="U2571" s="53">
        <f t="shared" si="167"/>
        <v>0</v>
      </c>
      <c r="W2571" s="160">
        <f t="shared" si="168"/>
        <v>0</v>
      </c>
      <c r="X2571" s="54">
        <f t="shared" si="169"/>
        <v>0</v>
      </c>
      <c r="Y2571" s="54">
        <f t="shared" si="170"/>
        <v>0</v>
      </c>
      <c r="Z2571" s="55" t="e">
        <f t="shared" si="171"/>
        <v>#DIV/0!</v>
      </c>
    </row>
    <row r="2572" spans="7:26">
      <c r="G2572" s="8"/>
      <c r="L2572" s="20"/>
      <c r="M2572" s="117" t="s">
        <v>386</v>
      </c>
      <c r="N2572" s="118" t="s">
        <v>73</v>
      </c>
      <c r="O2572" s="118" t="s">
        <v>67</v>
      </c>
      <c r="Q2572" s="53">
        <f t="shared" si="167"/>
        <v>0</v>
      </c>
      <c r="R2572" s="53">
        <f t="shared" si="167"/>
        <v>0</v>
      </c>
      <c r="S2572" s="53">
        <f t="shared" si="167"/>
        <v>0</v>
      </c>
      <c r="T2572" s="53">
        <f t="shared" si="167"/>
        <v>0</v>
      </c>
      <c r="U2572" s="53">
        <f t="shared" si="167"/>
        <v>0</v>
      </c>
      <c r="W2572" s="160">
        <f t="shared" si="168"/>
        <v>0</v>
      </c>
      <c r="X2572" s="54">
        <f t="shared" si="169"/>
        <v>0</v>
      </c>
      <c r="Y2572" s="54">
        <f t="shared" si="170"/>
        <v>0</v>
      </c>
      <c r="Z2572" s="55" t="e">
        <f t="shared" si="171"/>
        <v>#DIV/0!</v>
      </c>
    </row>
    <row r="2573" spans="7:26">
      <c r="G2573" s="8"/>
      <c r="L2573" s="20"/>
      <c r="M2573" s="117" t="s">
        <v>435</v>
      </c>
      <c r="N2573" s="118" t="s">
        <v>426</v>
      </c>
      <c r="O2573" s="118" t="s">
        <v>427</v>
      </c>
      <c r="Q2573" s="53">
        <f t="shared" si="167"/>
        <v>0</v>
      </c>
      <c r="R2573" s="53">
        <f t="shared" si="167"/>
        <v>0</v>
      </c>
      <c r="S2573" s="53">
        <f t="shared" si="167"/>
        <v>0</v>
      </c>
      <c r="T2573" s="53">
        <f t="shared" si="167"/>
        <v>0</v>
      </c>
      <c r="U2573" s="53">
        <f t="shared" si="167"/>
        <v>0</v>
      </c>
      <c r="W2573" s="160">
        <f t="shared" si="168"/>
        <v>0</v>
      </c>
      <c r="X2573" s="54">
        <f t="shared" si="169"/>
        <v>0</v>
      </c>
      <c r="Y2573" s="54">
        <f t="shared" si="170"/>
        <v>0</v>
      </c>
      <c r="Z2573" s="55" t="e">
        <f t="shared" si="171"/>
        <v>#DIV/0!</v>
      </c>
    </row>
    <row r="2574" spans="7:26">
      <c r="G2574" s="8"/>
      <c r="L2574" s="20"/>
      <c r="M2574" s="20"/>
      <c r="N2574" s="20"/>
      <c r="O2574" s="20"/>
      <c r="Q2574"/>
      <c r="R2574"/>
      <c r="S2574"/>
      <c r="T2574"/>
      <c r="U2574"/>
      <c r="Z2574" s="58"/>
    </row>
    <row r="2575" spans="7:26">
      <c r="G2575" s="8"/>
      <c r="H2575" t="s">
        <v>397</v>
      </c>
      <c r="L2575" s="20"/>
      <c r="M2575" s="117" t="s">
        <v>388</v>
      </c>
      <c r="N2575" s="118" t="s">
        <v>63</v>
      </c>
      <c r="O2575" s="118" t="s">
        <v>64</v>
      </c>
      <c r="Q2575" s="53">
        <f t="shared" ref="Q2575:U2582" si="172">SUMIFS(Q$7:Q$2428,$K$7:$K$2428, "&lt;4",$G$7:$G$2428,$G$2561,$N$7:$N$2428,$N2575)</f>
        <v>4058148</v>
      </c>
      <c r="R2575" s="53">
        <f t="shared" si="172"/>
        <v>4058148</v>
      </c>
      <c r="S2575" s="53">
        <f t="shared" si="172"/>
        <v>2011591</v>
      </c>
      <c r="T2575" s="53">
        <f t="shared" si="172"/>
        <v>2011591</v>
      </c>
      <c r="U2575" s="53">
        <f t="shared" si="172"/>
        <v>204200.52000000002</v>
      </c>
      <c r="W2575" s="160">
        <f t="shared" ref="W2575:W2582" si="173">SUMIFS(T$7:T$2428,$K$7:$K$2428, "&lt;4",$G$7:$G$2428,$G$2561,$N$7:$N$2428,$N2575, $W$7:$W$2428, "=x")</f>
        <v>0</v>
      </c>
      <c r="X2575" s="54">
        <f t="shared" ref="X2575:X2582" si="174">SUMIFS(T$7:T$2428,U$7:U$2428, "&gt;0",$K$7:$K$2428, "&lt;4",$G$7:$G$2428,$G$2561,$N$7:$N$2428,$N2575)</f>
        <v>2011591</v>
      </c>
      <c r="Y2575" s="54">
        <f t="shared" ref="Y2575:Y2582" si="175">SUMIFS(U$7:U$2428,U$7:U$2428, "&gt;0",$K$7:$K$2428, "&lt;4",$G$7:$G$2428,$G$2561,$N$7:$N$2428,$N2575)</f>
        <v>204200.52000000002</v>
      </c>
      <c r="Z2575" s="55">
        <f t="shared" ref="Z2575:Z2582" si="176">X2575/Y2575</f>
        <v>9.8510571863382115</v>
      </c>
    </row>
    <row r="2576" spans="7:26">
      <c r="G2576" s="8"/>
      <c r="L2576" s="20"/>
      <c r="M2576" s="117" t="s">
        <v>391</v>
      </c>
      <c r="N2576" s="118" t="s">
        <v>16</v>
      </c>
      <c r="O2576" s="118" t="s">
        <v>64</v>
      </c>
      <c r="Q2576" s="53">
        <f t="shared" si="172"/>
        <v>0</v>
      </c>
      <c r="R2576" s="53">
        <f t="shared" si="172"/>
        <v>0</v>
      </c>
      <c r="S2576" s="53">
        <f t="shared" si="172"/>
        <v>0</v>
      </c>
      <c r="T2576" s="53">
        <f t="shared" si="172"/>
        <v>0</v>
      </c>
      <c r="U2576" s="53">
        <f t="shared" si="172"/>
        <v>0</v>
      </c>
      <c r="W2576" s="160">
        <f t="shared" si="173"/>
        <v>0</v>
      </c>
      <c r="X2576" s="54">
        <f t="shared" si="174"/>
        <v>0</v>
      </c>
      <c r="Y2576" s="54">
        <f t="shared" si="175"/>
        <v>0</v>
      </c>
      <c r="Z2576" s="55" t="e">
        <f t="shared" si="176"/>
        <v>#DIV/0!</v>
      </c>
    </row>
    <row r="2577" spans="7:26">
      <c r="G2577" s="8"/>
      <c r="L2577" s="20"/>
      <c r="M2577" s="117" t="s">
        <v>387</v>
      </c>
      <c r="N2577" s="118" t="s">
        <v>154</v>
      </c>
      <c r="O2577" s="118" t="s">
        <v>70</v>
      </c>
      <c r="Q2577" s="53">
        <f t="shared" si="172"/>
        <v>0</v>
      </c>
      <c r="R2577" s="53">
        <f t="shared" si="172"/>
        <v>0</v>
      </c>
      <c r="S2577" s="53">
        <f t="shared" si="172"/>
        <v>0</v>
      </c>
      <c r="T2577" s="53">
        <f t="shared" si="172"/>
        <v>0</v>
      </c>
      <c r="U2577" s="53">
        <f t="shared" si="172"/>
        <v>0</v>
      </c>
      <c r="W2577" s="160">
        <f t="shared" si="173"/>
        <v>0</v>
      </c>
      <c r="X2577" s="54">
        <f t="shared" si="174"/>
        <v>0</v>
      </c>
      <c r="Y2577" s="54">
        <f t="shared" si="175"/>
        <v>0</v>
      </c>
      <c r="Z2577" s="55" t="e">
        <f t="shared" si="176"/>
        <v>#DIV/0!</v>
      </c>
    </row>
    <row r="2578" spans="7:26">
      <c r="G2578" s="8"/>
      <c r="L2578" s="20"/>
      <c r="M2578" s="117" t="s">
        <v>396</v>
      </c>
      <c r="N2578" s="118" t="s">
        <v>69</v>
      </c>
      <c r="O2578" s="118" t="s">
        <v>70</v>
      </c>
      <c r="Q2578" s="53">
        <f t="shared" si="172"/>
        <v>0</v>
      </c>
      <c r="R2578" s="53">
        <f t="shared" si="172"/>
        <v>0</v>
      </c>
      <c r="S2578" s="53">
        <f t="shared" si="172"/>
        <v>0</v>
      </c>
      <c r="T2578" s="53">
        <f t="shared" si="172"/>
        <v>0</v>
      </c>
      <c r="U2578" s="53">
        <f t="shared" si="172"/>
        <v>0</v>
      </c>
      <c r="W2578" s="160">
        <f t="shared" si="173"/>
        <v>0</v>
      </c>
      <c r="X2578" s="54">
        <f t="shared" si="174"/>
        <v>0</v>
      </c>
      <c r="Y2578" s="54">
        <f t="shared" si="175"/>
        <v>0</v>
      </c>
      <c r="Z2578" s="55" t="e">
        <f t="shared" si="176"/>
        <v>#DIV/0!</v>
      </c>
    </row>
    <row r="2579" spans="7:26">
      <c r="G2579" s="8"/>
      <c r="L2579" s="20"/>
      <c r="M2579" s="117" t="s">
        <v>389</v>
      </c>
      <c r="N2579" s="118" t="s">
        <v>155</v>
      </c>
      <c r="O2579" s="118" t="s">
        <v>49</v>
      </c>
      <c r="Q2579" s="53">
        <f t="shared" si="172"/>
        <v>0</v>
      </c>
      <c r="R2579" s="53">
        <f t="shared" si="172"/>
        <v>0</v>
      </c>
      <c r="S2579" s="53">
        <f t="shared" si="172"/>
        <v>0</v>
      </c>
      <c r="T2579" s="53">
        <f t="shared" si="172"/>
        <v>0</v>
      </c>
      <c r="U2579" s="53">
        <f t="shared" si="172"/>
        <v>0</v>
      </c>
      <c r="W2579" s="160">
        <f t="shared" si="173"/>
        <v>0</v>
      </c>
      <c r="X2579" s="54">
        <f t="shared" si="174"/>
        <v>0</v>
      </c>
      <c r="Y2579" s="54">
        <f t="shared" si="175"/>
        <v>0</v>
      </c>
      <c r="Z2579" s="55" t="e">
        <f t="shared" si="176"/>
        <v>#DIV/0!</v>
      </c>
    </row>
    <row r="2580" spans="7:26">
      <c r="G2580" s="8"/>
      <c r="L2580" s="20"/>
      <c r="M2580" s="117" t="s">
        <v>437</v>
      </c>
      <c r="N2580" s="118" t="s">
        <v>419</v>
      </c>
      <c r="O2580" s="118" t="s">
        <v>49</v>
      </c>
      <c r="Q2580" s="53">
        <f t="shared" si="172"/>
        <v>0</v>
      </c>
      <c r="R2580" s="53">
        <f t="shared" si="172"/>
        <v>0</v>
      </c>
      <c r="S2580" s="53">
        <f t="shared" si="172"/>
        <v>0</v>
      </c>
      <c r="T2580" s="53">
        <f t="shared" si="172"/>
        <v>0</v>
      </c>
      <c r="U2580" s="53">
        <f t="shared" si="172"/>
        <v>0</v>
      </c>
      <c r="W2580" s="160">
        <f t="shared" si="173"/>
        <v>0</v>
      </c>
      <c r="X2580" s="54">
        <f t="shared" si="174"/>
        <v>0</v>
      </c>
      <c r="Y2580" s="54">
        <f t="shared" si="175"/>
        <v>0</v>
      </c>
      <c r="Z2580" s="55" t="e">
        <f t="shared" si="176"/>
        <v>#DIV/0!</v>
      </c>
    </row>
    <row r="2581" spans="7:26">
      <c r="G2581" s="8"/>
      <c r="L2581" s="20"/>
      <c r="M2581" s="117" t="s">
        <v>2508</v>
      </c>
      <c r="N2581" s="118" t="s">
        <v>424</v>
      </c>
      <c r="O2581" s="118" t="s">
        <v>49</v>
      </c>
      <c r="Q2581" s="53">
        <f t="shared" si="172"/>
        <v>0</v>
      </c>
      <c r="R2581" s="53">
        <f t="shared" si="172"/>
        <v>0</v>
      </c>
      <c r="S2581" s="53">
        <f t="shared" si="172"/>
        <v>0</v>
      </c>
      <c r="T2581" s="53">
        <f t="shared" si="172"/>
        <v>0</v>
      </c>
      <c r="U2581" s="53">
        <f t="shared" si="172"/>
        <v>0</v>
      </c>
      <c r="W2581" s="160">
        <f t="shared" si="173"/>
        <v>0</v>
      </c>
      <c r="X2581" s="54">
        <f t="shared" si="174"/>
        <v>0</v>
      </c>
      <c r="Y2581" s="54">
        <f t="shared" si="175"/>
        <v>0</v>
      </c>
      <c r="Z2581" s="55" t="e">
        <f t="shared" si="176"/>
        <v>#DIV/0!</v>
      </c>
    </row>
    <row r="2582" spans="7:26">
      <c r="G2582" s="8"/>
      <c r="L2582" s="20"/>
      <c r="M2582" s="117" t="s">
        <v>436</v>
      </c>
      <c r="N2582" s="118" t="s">
        <v>68</v>
      </c>
      <c r="O2582" s="118" t="s">
        <v>49</v>
      </c>
      <c r="Q2582" s="53">
        <f t="shared" si="172"/>
        <v>61500</v>
      </c>
      <c r="R2582" s="53">
        <f t="shared" si="172"/>
        <v>61500</v>
      </c>
      <c r="S2582" s="53">
        <f t="shared" si="172"/>
        <v>41818</v>
      </c>
      <c r="T2582" s="53">
        <f t="shared" si="172"/>
        <v>41818</v>
      </c>
      <c r="U2582" s="53">
        <f t="shared" si="172"/>
        <v>4073.86</v>
      </c>
      <c r="W2582" s="160">
        <f t="shared" si="173"/>
        <v>0</v>
      </c>
      <c r="X2582" s="54">
        <f t="shared" si="174"/>
        <v>41818</v>
      </c>
      <c r="Y2582" s="54">
        <f t="shared" si="175"/>
        <v>4073.86</v>
      </c>
      <c r="Z2582" s="55">
        <f t="shared" si="176"/>
        <v>10.264957558678992</v>
      </c>
    </row>
    <row r="2583" spans="7:26" ht="13">
      <c r="G2583" s="9"/>
      <c r="H2583" s="10"/>
      <c r="I2583" s="10"/>
      <c r="J2583" s="10"/>
      <c r="K2583" s="10"/>
      <c r="L2583" s="10"/>
      <c r="M2583" s="10"/>
      <c r="N2583" s="10"/>
      <c r="O2583" s="11"/>
      <c r="P2583" s="10"/>
      <c r="Q2583" s="26">
        <f>SUM(Q2561:Q2582)</f>
        <v>66054354</v>
      </c>
      <c r="R2583" s="26">
        <f>SUM(R2561:R2582)</f>
        <v>66054354</v>
      </c>
      <c r="S2583" s="26">
        <f>SUM(S2561:S2582)</f>
        <v>65843034</v>
      </c>
      <c r="T2583" s="26">
        <f>SUM(T2561:T2582)</f>
        <v>65843034</v>
      </c>
      <c r="U2583" s="26">
        <f>SUM(U2561:U2582)</f>
        <v>8657752.3929999992</v>
      </c>
      <c r="V2583" s="10"/>
      <c r="W2583" s="10"/>
      <c r="X2583" s="56"/>
      <c r="Y2583" s="56"/>
      <c r="Z2583" s="57"/>
    </row>
    <row r="2585" spans="7:26">
      <c r="G2585" s="16"/>
      <c r="H2585" s="16"/>
      <c r="I2585" s="16"/>
      <c r="J2585" s="16"/>
      <c r="K2585" s="16"/>
      <c r="L2585" s="16"/>
      <c r="M2585" s="16"/>
      <c r="N2585" s="16"/>
      <c r="O2585" s="16"/>
      <c r="P2585" s="16"/>
      <c r="Q2585" s="17"/>
      <c r="R2585" s="17"/>
      <c r="S2585" s="17"/>
      <c r="T2585" s="17"/>
      <c r="U2585" s="17"/>
      <c r="X2585" s="1"/>
      <c r="Y2585" s="1"/>
      <c r="Z2585" s="17"/>
    </row>
    <row r="2586" spans="7:26">
      <c r="G2586" s="4" t="s">
        <v>89</v>
      </c>
      <c r="H2586" s="5" t="s">
        <v>398</v>
      </c>
      <c r="I2586" s="5"/>
      <c r="J2586" s="5"/>
      <c r="K2586" s="5"/>
      <c r="L2586" s="150"/>
      <c r="M2586" s="151" t="s">
        <v>392</v>
      </c>
      <c r="N2586" s="152" t="s">
        <v>43</v>
      </c>
      <c r="O2586" s="152" t="s">
        <v>44</v>
      </c>
      <c r="P2586" s="150"/>
      <c r="Q2586" s="50">
        <f t="shared" ref="Q2586:U2598" si="177">SUMIFS(Q$7:Q$2428,$K$7:$K$2428, "&lt;4",$G$7:$G$2428,$G$2586,$N$7:$N$2428,$N2586)</f>
        <v>0</v>
      </c>
      <c r="R2586" s="50">
        <f t="shared" si="177"/>
        <v>0</v>
      </c>
      <c r="S2586" s="50">
        <f t="shared" si="177"/>
        <v>0</v>
      </c>
      <c r="T2586" s="50">
        <f t="shared" si="177"/>
        <v>0</v>
      </c>
      <c r="U2586" s="50">
        <f t="shared" si="177"/>
        <v>0</v>
      </c>
      <c r="V2586" s="5"/>
      <c r="W2586" s="159">
        <f t="shared" ref="W2586:W2598" si="178">SUMIFS(T$7:T$2428,$K$7:$K$2428, "&lt;4",$G$7:$G$2428,$G$2586,$N$7:$N$2428,$N2586, $W$7:$W$2428, "=x")</f>
        <v>0</v>
      </c>
      <c r="X2586" s="51">
        <f t="shared" ref="X2586:X2598" si="179">SUMIFS(T$7:T$2428,U$7:U$2428, "&gt;0",$K$7:$K$2428, "&lt;4",$G$7:$G$2428,$G$2586,$N$7:$N$2428,$N2586)</f>
        <v>0</v>
      </c>
      <c r="Y2586" s="51">
        <f t="shared" ref="Y2586:Y2598" si="180">SUMIFS(U$7:U$2428,U$7:U$2428, "&gt;0",$K$7:$K$2428, "&lt;4",$G$7:$G$2428,$G$2586,$N$7:$N$2428,$N2586)</f>
        <v>0</v>
      </c>
      <c r="Z2586" s="52" t="e">
        <f t="shared" ref="Z2586:Z2598" si="181">X2586/Y2586</f>
        <v>#DIV/0!</v>
      </c>
    </row>
    <row r="2587" spans="7:26">
      <c r="G2587" s="8"/>
      <c r="L2587" s="20"/>
      <c r="M2587" s="117" t="s">
        <v>393</v>
      </c>
      <c r="N2587" s="118" t="s">
        <v>48</v>
      </c>
      <c r="O2587" s="118" t="s">
        <v>44</v>
      </c>
      <c r="P2587" s="20"/>
      <c r="Q2587" s="53">
        <f t="shared" si="177"/>
        <v>0</v>
      </c>
      <c r="R2587" s="53">
        <f t="shared" si="177"/>
        <v>0</v>
      </c>
      <c r="S2587" s="53">
        <f t="shared" si="177"/>
        <v>0</v>
      </c>
      <c r="T2587" s="53">
        <f t="shared" si="177"/>
        <v>0</v>
      </c>
      <c r="U2587" s="53">
        <f t="shared" si="177"/>
        <v>0</v>
      </c>
      <c r="W2587" s="160">
        <f t="shared" si="178"/>
        <v>0</v>
      </c>
      <c r="X2587" s="54">
        <f t="shared" si="179"/>
        <v>0</v>
      </c>
      <c r="Y2587" s="54">
        <f t="shared" si="180"/>
        <v>0</v>
      </c>
      <c r="Z2587" s="55" t="e">
        <f t="shared" si="181"/>
        <v>#DIV/0!</v>
      </c>
    </row>
    <row r="2588" spans="7:26">
      <c r="G2588" s="8"/>
      <c r="L2588" s="20"/>
      <c r="M2588" s="117" t="s">
        <v>381</v>
      </c>
      <c r="N2588" s="118" t="s">
        <v>46</v>
      </c>
      <c r="O2588" s="118" t="s">
        <v>46</v>
      </c>
      <c r="P2588" s="20"/>
      <c r="Q2588" s="53">
        <f t="shared" si="177"/>
        <v>5917</v>
      </c>
      <c r="R2588" s="53">
        <f t="shared" si="177"/>
        <v>5917</v>
      </c>
      <c r="S2588" s="53">
        <f t="shared" si="177"/>
        <v>34185</v>
      </c>
      <c r="T2588" s="160">
        <f t="shared" si="177"/>
        <v>34185</v>
      </c>
      <c r="U2588" s="53">
        <f t="shared" si="177"/>
        <v>1560</v>
      </c>
      <c r="W2588" s="160">
        <f t="shared" si="178"/>
        <v>6994</v>
      </c>
      <c r="X2588" s="54">
        <f t="shared" si="179"/>
        <v>34185</v>
      </c>
      <c r="Y2588" s="54">
        <f t="shared" si="180"/>
        <v>1560</v>
      </c>
      <c r="Z2588" s="55">
        <f t="shared" si="181"/>
        <v>21.91346153846154</v>
      </c>
    </row>
    <row r="2589" spans="7:26">
      <c r="G2589" s="8"/>
      <c r="L2589" s="20"/>
      <c r="M2589" s="117" t="s">
        <v>380</v>
      </c>
      <c r="N2589" s="118" t="s">
        <v>39</v>
      </c>
      <c r="O2589" s="118" t="s">
        <v>39</v>
      </c>
      <c r="P2589" s="20"/>
      <c r="Q2589" s="53">
        <f t="shared" si="177"/>
        <v>7915</v>
      </c>
      <c r="R2589" s="53">
        <f t="shared" si="177"/>
        <v>7915</v>
      </c>
      <c r="S2589" s="53">
        <f t="shared" si="177"/>
        <v>8234</v>
      </c>
      <c r="T2589" s="53">
        <f t="shared" si="177"/>
        <v>8234</v>
      </c>
      <c r="U2589" s="53">
        <f t="shared" si="177"/>
        <v>553.58100000000002</v>
      </c>
      <c r="W2589" s="160">
        <f t="shared" si="178"/>
        <v>0</v>
      </c>
      <c r="X2589" s="54">
        <f t="shared" si="179"/>
        <v>8234</v>
      </c>
      <c r="Y2589" s="54">
        <f t="shared" si="180"/>
        <v>553.58100000000002</v>
      </c>
      <c r="Z2589" s="55">
        <f t="shared" si="181"/>
        <v>14.874065403256253</v>
      </c>
    </row>
    <row r="2590" spans="7:26">
      <c r="G2590" s="8"/>
      <c r="L2590" s="20"/>
      <c r="M2590" s="117" t="s">
        <v>394</v>
      </c>
      <c r="N2590" s="118" t="s">
        <v>17</v>
      </c>
      <c r="O2590" s="118" t="s">
        <v>82</v>
      </c>
      <c r="P2590" s="20"/>
      <c r="Q2590" s="53">
        <f t="shared" si="177"/>
        <v>0</v>
      </c>
      <c r="R2590" s="53">
        <f t="shared" si="177"/>
        <v>0</v>
      </c>
      <c r="S2590" s="53">
        <f t="shared" si="177"/>
        <v>0</v>
      </c>
      <c r="T2590" s="53">
        <f t="shared" si="177"/>
        <v>0</v>
      </c>
      <c r="U2590" s="53">
        <f t="shared" si="177"/>
        <v>0</v>
      </c>
      <c r="W2590" s="160">
        <f t="shared" si="178"/>
        <v>0</v>
      </c>
      <c r="X2590" s="54">
        <f t="shared" si="179"/>
        <v>0</v>
      </c>
      <c r="Y2590" s="54">
        <f t="shared" si="180"/>
        <v>0</v>
      </c>
      <c r="Z2590" s="55" t="e">
        <f t="shared" si="181"/>
        <v>#DIV/0!</v>
      </c>
    </row>
    <row r="2591" spans="7:26">
      <c r="G2591" s="8"/>
      <c r="L2591" s="20"/>
      <c r="M2591" s="117" t="s">
        <v>395</v>
      </c>
      <c r="N2591" s="118" t="s">
        <v>82</v>
      </c>
      <c r="O2591" s="118" t="s">
        <v>82</v>
      </c>
      <c r="P2591" s="20"/>
      <c r="Q2591" s="53">
        <f t="shared" si="177"/>
        <v>0</v>
      </c>
      <c r="R2591" s="53">
        <f t="shared" si="177"/>
        <v>0</v>
      </c>
      <c r="S2591" s="53">
        <f t="shared" si="177"/>
        <v>0</v>
      </c>
      <c r="T2591" s="53">
        <f t="shared" si="177"/>
        <v>0</v>
      </c>
      <c r="U2591" s="53">
        <f t="shared" si="177"/>
        <v>0</v>
      </c>
      <c r="W2591" s="160">
        <f t="shared" si="178"/>
        <v>0</v>
      </c>
      <c r="X2591" s="54">
        <f t="shared" si="179"/>
        <v>0</v>
      </c>
      <c r="Y2591" s="54">
        <f t="shared" si="180"/>
        <v>0</v>
      </c>
      <c r="Z2591" s="55" t="e">
        <f t="shared" si="181"/>
        <v>#DIV/0!</v>
      </c>
    </row>
    <row r="2592" spans="7:26">
      <c r="G2592" s="8"/>
      <c r="L2592" s="20"/>
      <c r="M2592" s="117" t="s">
        <v>390</v>
      </c>
      <c r="N2592" s="118" t="s">
        <v>402</v>
      </c>
      <c r="O2592" s="118" t="s">
        <v>82</v>
      </c>
      <c r="P2592" s="20"/>
      <c r="Q2592" s="53">
        <f t="shared" si="177"/>
        <v>0</v>
      </c>
      <c r="R2592" s="53">
        <f t="shared" si="177"/>
        <v>0</v>
      </c>
      <c r="S2592" s="53">
        <f t="shared" si="177"/>
        <v>0</v>
      </c>
      <c r="T2592" s="53">
        <f t="shared" si="177"/>
        <v>0</v>
      </c>
      <c r="U2592" s="53">
        <f t="shared" si="177"/>
        <v>0</v>
      </c>
      <c r="W2592" s="160">
        <f t="shared" si="178"/>
        <v>0</v>
      </c>
      <c r="X2592" s="54">
        <f t="shared" si="179"/>
        <v>0</v>
      </c>
      <c r="Y2592" s="54">
        <f t="shared" si="180"/>
        <v>0</v>
      </c>
      <c r="Z2592" s="55" t="e">
        <f t="shared" si="181"/>
        <v>#DIV/0!</v>
      </c>
    </row>
    <row r="2593" spans="7:26">
      <c r="G2593" s="8"/>
      <c r="L2593" s="20"/>
      <c r="M2593" s="117" t="s">
        <v>383</v>
      </c>
      <c r="N2593" s="118" t="s">
        <v>65</v>
      </c>
      <c r="O2593" s="118" t="s">
        <v>65</v>
      </c>
      <c r="P2593" s="20"/>
      <c r="Q2593" s="53">
        <f t="shared" si="177"/>
        <v>0</v>
      </c>
      <c r="R2593" s="53">
        <f t="shared" si="177"/>
        <v>0</v>
      </c>
      <c r="S2593" s="53">
        <f t="shared" si="177"/>
        <v>0</v>
      </c>
      <c r="T2593" s="53">
        <f t="shared" si="177"/>
        <v>0</v>
      </c>
      <c r="U2593" s="53">
        <f t="shared" si="177"/>
        <v>0</v>
      </c>
      <c r="W2593" s="160">
        <f t="shared" si="178"/>
        <v>0</v>
      </c>
      <c r="X2593" s="54">
        <f t="shared" si="179"/>
        <v>0</v>
      </c>
      <c r="Y2593" s="54">
        <f t="shared" si="180"/>
        <v>0</v>
      </c>
      <c r="Z2593" s="55" t="e">
        <f t="shared" si="181"/>
        <v>#DIV/0!</v>
      </c>
    </row>
    <row r="2594" spans="7:26">
      <c r="G2594" s="8"/>
      <c r="L2594" s="20"/>
      <c r="M2594" s="117" t="s">
        <v>382</v>
      </c>
      <c r="N2594" s="118" t="s">
        <v>61</v>
      </c>
      <c r="O2594" s="118" t="s">
        <v>61</v>
      </c>
      <c r="P2594" s="20"/>
      <c r="Q2594" s="53">
        <f t="shared" si="177"/>
        <v>0</v>
      </c>
      <c r="R2594" s="53">
        <f t="shared" si="177"/>
        <v>0</v>
      </c>
      <c r="S2594" s="53">
        <f t="shared" si="177"/>
        <v>0</v>
      </c>
      <c r="T2594" s="53">
        <f t="shared" si="177"/>
        <v>0</v>
      </c>
      <c r="U2594" s="53">
        <f t="shared" si="177"/>
        <v>0</v>
      </c>
      <c r="W2594" s="160">
        <f t="shared" si="178"/>
        <v>0</v>
      </c>
      <c r="X2594" s="54">
        <f t="shared" si="179"/>
        <v>0</v>
      </c>
      <c r="Y2594" s="54">
        <f t="shared" si="180"/>
        <v>0</v>
      </c>
      <c r="Z2594" s="55" t="e">
        <f t="shared" si="181"/>
        <v>#DIV/0!</v>
      </c>
    </row>
    <row r="2595" spans="7:26">
      <c r="G2595" s="8"/>
      <c r="L2595" s="20"/>
      <c r="M2595" s="117" t="s">
        <v>384</v>
      </c>
      <c r="N2595" s="118" t="s">
        <v>66</v>
      </c>
      <c r="O2595" s="118" t="s">
        <v>67</v>
      </c>
      <c r="P2595" s="20"/>
      <c r="Q2595" s="53">
        <f t="shared" si="177"/>
        <v>0</v>
      </c>
      <c r="R2595" s="53">
        <f t="shared" si="177"/>
        <v>0</v>
      </c>
      <c r="S2595" s="53">
        <f t="shared" si="177"/>
        <v>0</v>
      </c>
      <c r="T2595" s="53">
        <f t="shared" si="177"/>
        <v>0</v>
      </c>
      <c r="U2595" s="53">
        <f t="shared" si="177"/>
        <v>0</v>
      </c>
      <c r="W2595" s="160">
        <f t="shared" si="178"/>
        <v>0</v>
      </c>
      <c r="X2595" s="54">
        <f t="shared" si="179"/>
        <v>0</v>
      </c>
      <c r="Y2595" s="54">
        <f t="shared" si="180"/>
        <v>0</v>
      </c>
      <c r="Z2595" s="55" t="e">
        <f t="shared" si="181"/>
        <v>#DIV/0!</v>
      </c>
    </row>
    <row r="2596" spans="7:26">
      <c r="G2596" s="8"/>
      <c r="L2596" s="20"/>
      <c r="M2596" s="117" t="s">
        <v>385</v>
      </c>
      <c r="N2596" s="118" t="s">
        <v>76</v>
      </c>
      <c r="O2596" s="118" t="s">
        <v>67</v>
      </c>
      <c r="P2596" s="20"/>
      <c r="Q2596" s="53">
        <f t="shared" si="177"/>
        <v>4580</v>
      </c>
      <c r="R2596" s="53">
        <f t="shared" si="177"/>
        <v>4580</v>
      </c>
      <c r="S2596" s="53">
        <f t="shared" si="177"/>
        <v>26564</v>
      </c>
      <c r="T2596" s="160">
        <f t="shared" si="177"/>
        <v>26564</v>
      </c>
      <c r="U2596" s="53">
        <f t="shared" si="177"/>
        <v>1325</v>
      </c>
      <c r="W2596" s="160">
        <f t="shared" si="178"/>
        <v>26564</v>
      </c>
      <c r="X2596" s="54">
        <f t="shared" si="179"/>
        <v>26564</v>
      </c>
      <c r="Y2596" s="54">
        <f t="shared" si="180"/>
        <v>1325</v>
      </c>
      <c r="Z2596" s="55">
        <f t="shared" si="181"/>
        <v>20.048301886792451</v>
      </c>
    </row>
    <row r="2597" spans="7:26">
      <c r="G2597" s="8"/>
      <c r="L2597" s="20"/>
      <c r="M2597" s="117" t="s">
        <v>386</v>
      </c>
      <c r="N2597" s="118" t="s">
        <v>73</v>
      </c>
      <c r="O2597" s="118" t="s">
        <v>67</v>
      </c>
      <c r="P2597" s="20"/>
      <c r="Q2597" s="53">
        <f t="shared" si="177"/>
        <v>0</v>
      </c>
      <c r="R2597" s="53">
        <f t="shared" si="177"/>
        <v>0</v>
      </c>
      <c r="S2597" s="53">
        <f t="shared" si="177"/>
        <v>0</v>
      </c>
      <c r="T2597" s="53">
        <f t="shared" si="177"/>
        <v>0</v>
      </c>
      <c r="U2597" s="53">
        <f t="shared" si="177"/>
        <v>0</v>
      </c>
      <c r="W2597" s="160">
        <f t="shared" si="178"/>
        <v>0</v>
      </c>
      <c r="X2597" s="54">
        <f t="shared" si="179"/>
        <v>0</v>
      </c>
      <c r="Y2597" s="54">
        <f t="shared" si="180"/>
        <v>0</v>
      </c>
      <c r="Z2597" s="55" t="e">
        <f t="shared" si="181"/>
        <v>#DIV/0!</v>
      </c>
    </row>
    <row r="2598" spans="7:26">
      <c r="G2598" s="8"/>
      <c r="L2598" s="20"/>
      <c r="M2598" s="117" t="s">
        <v>435</v>
      </c>
      <c r="N2598" s="118" t="s">
        <v>426</v>
      </c>
      <c r="O2598" s="118" t="s">
        <v>427</v>
      </c>
      <c r="P2598" s="20"/>
      <c r="Q2598" s="53">
        <f t="shared" si="177"/>
        <v>0</v>
      </c>
      <c r="R2598" s="53">
        <f t="shared" si="177"/>
        <v>0</v>
      </c>
      <c r="S2598" s="53">
        <f t="shared" si="177"/>
        <v>0</v>
      </c>
      <c r="T2598" s="53">
        <f t="shared" si="177"/>
        <v>0</v>
      </c>
      <c r="U2598" s="53">
        <f t="shared" si="177"/>
        <v>0</v>
      </c>
      <c r="W2598" s="160">
        <f t="shared" si="178"/>
        <v>0</v>
      </c>
      <c r="X2598" s="54">
        <f t="shared" si="179"/>
        <v>0</v>
      </c>
      <c r="Y2598" s="54">
        <f t="shared" si="180"/>
        <v>0</v>
      </c>
      <c r="Z2598" s="55" t="e">
        <f t="shared" si="181"/>
        <v>#DIV/0!</v>
      </c>
    </row>
    <row r="2599" spans="7:26">
      <c r="G2599" s="8"/>
      <c r="L2599" s="20"/>
      <c r="M2599" s="20"/>
      <c r="N2599" s="20"/>
      <c r="O2599" s="20"/>
      <c r="P2599" s="20"/>
      <c r="Q2599"/>
      <c r="R2599"/>
      <c r="S2599"/>
      <c r="T2599"/>
      <c r="U2599"/>
      <c r="W2599" s="1"/>
      <c r="Z2599" s="58"/>
    </row>
    <row r="2600" spans="7:26">
      <c r="G2600" s="8"/>
      <c r="H2600" t="s">
        <v>397</v>
      </c>
      <c r="L2600" s="20"/>
      <c r="M2600" s="117" t="s">
        <v>388</v>
      </c>
      <c r="N2600" s="118" t="s">
        <v>63</v>
      </c>
      <c r="O2600" s="118" t="s">
        <v>64</v>
      </c>
      <c r="P2600" s="20"/>
      <c r="Q2600" s="53">
        <f t="shared" ref="Q2600:U2607" si="182">SUMIFS(Q$7:Q$2428,$K$7:$K$2428, "&lt;4",$G$7:$G$2428,$G$2586,$N$7:$N$2428,$N2600)</f>
        <v>1418606</v>
      </c>
      <c r="R2600" s="53">
        <f t="shared" si="182"/>
        <v>1418606</v>
      </c>
      <c r="S2600" s="53">
        <f t="shared" si="182"/>
        <v>644247</v>
      </c>
      <c r="T2600" s="53">
        <f t="shared" si="182"/>
        <v>644247</v>
      </c>
      <c r="U2600" s="53">
        <f t="shared" si="182"/>
        <v>60329</v>
      </c>
      <c r="W2600" s="160">
        <f t="shared" ref="W2600:W2607" si="183">SUMIFS(T$7:T$2428,$K$7:$K$2428, "&lt;4",$G$7:$G$2428,$G$2586,$N$7:$N$2428,$N2600, $W$7:$W$2428, "=x")</f>
        <v>0</v>
      </c>
      <c r="X2600" s="54">
        <f t="shared" ref="X2600:X2607" si="184">SUMIFS(T$7:T$2428,U$7:U$2428, "&gt;0",$K$7:$K$2428, "&lt;4",$G$7:$G$2428,$G$2586,$N$7:$N$2428,$N2600)</f>
        <v>644247</v>
      </c>
      <c r="Y2600" s="54">
        <f t="shared" ref="Y2600:Y2607" si="185">SUMIFS(U$7:U$2428,U$7:U$2428, "&gt;0",$K$7:$K$2428, "&lt;4",$G$7:$G$2428,$G$2586,$N$7:$N$2428,$N2600)</f>
        <v>60329</v>
      </c>
      <c r="Z2600" s="55">
        <f t="shared" ref="Z2600:Z2607" si="186">X2600/Y2600</f>
        <v>10.678894064214557</v>
      </c>
    </row>
    <row r="2601" spans="7:26">
      <c r="G2601" s="8"/>
      <c r="L2601" s="20"/>
      <c r="M2601" s="117" t="s">
        <v>391</v>
      </c>
      <c r="N2601" s="118" t="s">
        <v>16</v>
      </c>
      <c r="O2601" s="118" t="s">
        <v>64</v>
      </c>
      <c r="P2601" s="20"/>
      <c r="Q2601" s="53">
        <f t="shared" si="182"/>
        <v>0</v>
      </c>
      <c r="R2601" s="53">
        <f t="shared" si="182"/>
        <v>0</v>
      </c>
      <c r="S2601" s="53">
        <f t="shared" si="182"/>
        <v>0</v>
      </c>
      <c r="T2601" s="53">
        <f t="shared" si="182"/>
        <v>0</v>
      </c>
      <c r="U2601" s="53">
        <f t="shared" si="182"/>
        <v>0</v>
      </c>
      <c r="W2601" s="160">
        <f t="shared" si="183"/>
        <v>0</v>
      </c>
      <c r="X2601" s="54">
        <f t="shared" si="184"/>
        <v>0</v>
      </c>
      <c r="Y2601" s="54">
        <f t="shared" si="185"/>
        <v>0</v>
      </c>
      <c r="Z2601" s="55" t="e">
        <f t="shared" si="186"/>
        <v>#DIV/0!</v>
      </c>
    </row>
    <row r="2602" spans="7:26">
      <c r="G2602" s="8"/>
      <c r="L2602" s="20"/>
      <c r="M2602" s="117" t="s">
        <v>387</v>
      </c>
      <c r="N2602" s="118" t="s">
        <v>154</v>
      </c>
      <c r="O2602" s="118" t="s">
        <v>70</v>
      </c>
      <c r="P2602" s="20"/>
      <c r="Q2602" s="53">
        <f t="shared" si="182"/>
        <v>0</v>
      </c>
      <c r="R2602" s="53">
        <f t="shared" si="182"/>
        <v>0</v>
      </c>
      <c r="S2602" s="53">
        <f t="shared" si="182"/>
        <v>0</v>
      </c>
      <c r="T2602" s="53">
        <f t="shared" si="182"/>
        <v>0</v>
      </c>
      <c r="U2602" s="53">
        <f t="shared" si="182"/>
        <v>0</v>
      </c>
      <c r="W2602" s="160">
        <f t="shared" si="183"/>
        <v>0</v>
      </c>
      <c r="X2602" s="54">
        <f t="shared" si="184"/>
        <v>0</v>
      </c>
      <c r="Y2602" s="54">
        <f t="shared" si="185"/>
        <v>0</v>
      </c>
      <c r="Z2602" s="55" t="e">
        <f t="shared" si="186"/>
        <v>#DIV/0!</v>
      </c>
    </row>
    <row r="2603" spans="7:26">
      <c r="G2603" s="8"/>
      <c r="L2603" s="20"/>
      <c r="M2603" s="117" t="s">
        <v>396</v>
      </c>
      <c r="N2603" s="118" t="s">
        <v>69</v>
      </c>
      <c r="O2603" s="118" t="s">
        <v>70</v>
      </c>
      <c r="P2603" s="20"/>
      <c r="Q2603" s="53">
        <f t="shared" si="182"/>
        <v>687148</v>
      </c>
      <c r="R2603" s="53">
        <f t="shared" si="182"/>
        <v>687148</v>
      </c>
      <c r="S2603" s="53">
        <f t="shared" si="182"/>
        <v>6491567</v>
      </c>
      <c r="T2603" s="53">
        <f t="shared" si="182"/>
        <v>6491567</v>
      </c>
      <c r="U2603" s="53">
        <f t="shared" si="182"/>
        <v>434350.42</v>
      </c>
      <c r="W2603" s="160">
        <f t="shared" si="183"/>
        <v>0</v>
      </c>
      <c r="X2603" s="54">
        <f t="shared" si="184"/>
        <v>6491567</v>
      </c>
      <c r="Y2603" s="54">
        <f t="shared" si="185"/>
        <v>434350.42</v>
      </c>
      <c r="Z2603" s="55">
        <f t="shared" si="186"/>
        <v>14.945460395779058</v>
      </c>
    </row>
    <row r="2604" spans="7:26">
      <c r="G2604" s="8"/>
      <c r="L2604" s="20"/>
      <c r="M2604" s="117" t="s">
        <v>389</v>
      </c>
      <c r="N2604" s="118" t="s">
        <v>155</v>
      </c>
      <c r="O2604" s="118" t="s">
        <v>49</v>
      </c>
      <c r="P2604" s="20"/>
      <c r="Q2604" s="53">
        <f t="shared" si="182"/>
        <v>0</v>
      </c>
      <c r="R2604" s="53">
        <f t="shared" si="182"/>
        <v>0</v>
      </c>
      <c r="S2604" s="53">
        <f t="shared" si="182"/>
        <v>0</v>
      </c>
      <c r="T2604" s="53">
        <f t="shared" si="182"/>
        <v>0</v>
      </c>
      <c r="U2604" s="53">
        <f t="shared" si="182"/>
        <v>0</v>
      </c>
      <c r="W2604" s="160">
        <f t="shared" si="183"/>
        <v>0</v>
      </c>
      <c r="X2604" s="54">
        <f t="shared" si="184"/>
        <v>0</v>
      </c>
      <c r="Y2604" s="54">
        <f t="shared" si="185"/>
        <v>0</v>
      </c>
      <c r="Z2604" s="55" t="e">
        <f t="shared" si="186"/>
        <v>#DIV/0!</v>
      </c>
    </row>
    <row r="2605" spans="7:26">
      <c r="G2605" s="8"/>
      <c r="L2605" s="20"/>
      <c r="M2605" s="117" t="s">
        <v>437</v>
      </c>
      <c r="N2605" s="118" t="s">
        <v>419</v>
      </c>
      <c r="O2605" s="118" t="s">
        <v>49</v>
      </c>
      <c r="P2605" s="20"/>
      <c r="Q2605" s="53">
        <f t="shared" si="182"/>
        <v>0</v>
      </c>
      <c r="R2605" s="53">
        <f t="shared" si="182"/>
        <v>0</v>
      </c>
      <c r="S2605" s="53">
        <f t="shared" si="182"/>
        <v>0</v>
      </c>
      <c r="T2605" s="53">
        <f t="shared" si="182"/>
        <v>0</v>
      </c>
      <c r="U2605" s="53">
        <f t="shared" si="182"/>
        <v>0</v>
      </c>
      <c r="W2605" s="160">
        <f t="shared" si="183"/>
        <v>0</v>
      </c>
      <c r="X2605" s="54">
        <f t="shared" si="184"/>
        <v>0</v>
      </c>
      <c r="Y2605" s="54">
        <f t="shared" si="185"/>
        <v>0</v>
      </c>
      <c r="Z2605" s="55" t="e">
        <f t="shared" si="186"/>
        <v>#DIV/0!</v>
      </c>
    </row>
    <row r="2606" spans="7:26">
      <c r="G2606" s="8"/>
      <c r="L2606" s="20"/>
      <c r="M2606" s="117" t="s">
        <v>2508</v>
      </c>
      <c r="N2606" s="118" t="s">
        <v>424</v>
      </c>
      <c r="O2606" s="118" t="s">
        <v>49</v>
      </c>
      <c r="P2606" s="20"/>
      <c r="Q2606" s="53">
        <f t="shared" si="182"/>
        <v>0</v>
      </c>
      <c r="R2606" s="53">
        <f t="shared" si="182"/>
        <v>0</v>
      </c>
      <c r="S2606" s="53">
        <f t="shared" si="182"/>
        <v>0</v>
      </c>
      <c r="T2606" s="53">
        <f t="shared" si="182"/>
        <v>0</v>
      </c>
      <c r="U2606" s="53">
        <f t="shared" si="182"/>
        <v>0</v>
      </c>
      <c r="W2606" s="160">
        <f t="shared" si="183"/>
        <v>0</v>
      </c>
      <c r="X2606" s="54">
        <f t="shared" si="184"/>
        <v>0</v>
      </c>
      <c r="Y2606" s="54">
        <f t="shared" si="185"/>
        <v>0</v>
      </c>
      <c r="Z2606" s="55" t="e">
        <f t="shared" si="186"/>
        <v>#DIV/0!</v>
      </c>
    </row>
    <row r="2607" spans="7:26">
      <c r="G2607" s="8"/>
      <c r="L2607" s="20"/>
      <c r="M2607" s="117" t="s">
        <v>436</v>
      </c>
      <c r="N2607" s="118" t="s">
        <v>68</v>
      </c>
      <c r="O2607" s="118" t="s">
        <v>49</v>
      </c>
      <c r="P2607" s="20"/>
      <c r="Q2607" s="53">
        <f t="shared" si="182"/>
        <v>0</v>
      </c>
      <c r="R2607" s="53">
        <f t="shared" si="182"/>
        <v>0</v>
      </c>
      <c r="S2607" s="53">
        <f t="shared" si="182"/>
        <v>0</v>
      </c>
      <c r="T2607" s="53">
        <f t="shared" si="182"/>
        <v>0</v>
      </c>
      <c r="U2607" s="53">
        <f t="shared" si="182"/>
        <v>0</v>
      </c>
      <c r="W2607" s="160">
        <f t="shared" si="183"/>
        <v>0</v>
      </c>
      <c r="X2607" s="54">
        <f t="shared" si="184"/>
        <v>0</v>
      </c>
      <c r="Y2607" s="54">
        <f t="shared" si="185"/>
        <v>0</v>
      </c>
      <c r="Z2607" s="55" t="e">
        <f t="shared" si="186"/>
        <v>#DIV/0!</v>
      </c>
    </row>
    <row r="2608" spans="7:26" ht="13">
      <c r="G2608" s="9"/>
      <c r="H2608" s="10"/>
      <c r="I2608" s="10"/>
      <c r="J2608" s="10"/>
      <c r="K2608" s="10"/>
      <c r="L2608" s="10"/>
      <c r="M2608" s="10"/>
      <c r="N2608" s="10"/>
      <c r="O2608" s="11"/>
      <c r="P2608" s="10"/>
      <c r="Q2608" s="26">
        <f>SUM(Q2586:Q2607)</f>
        <v>2124166</v>
      </c>
      <c r="R2608" s="26">
        <f>SUM(R2586:R2607)</f>
        <v>2124166</v>
      </c>
      <c r="S2608" s="26">
        <f>SUM(S2586:S2607)</f>
        <v>7204797</v>
      </c>
      <c r="T2608" s="26">
        <f>SUM(T2586:T2607)</f>
        <v>7204797</v>
      </c>
      <c r="U2608" s="26">
        <f>SUM(U2586:U2607)</f>
        <v>498118.00099999999</v>
      </c>
      <c r="V2608" s="10"/>
      <c r="W2608" s="10"/>
      <c r="X2608" s="56"/>
      <c r="Y2608" s="56"/>
      <c r="Z2608" s="57"/>
    </row>
    <row r="2610" spans="7:26">
      <c r="P2610" s="1"/>
    </row>
    <row r="2611" spans="7:26" ht="62.5">
      <c r="G2611" s="627" t="s">
        <v>3081</v>
      </c>
      <c r="H2611" s="607"/>
      <c r="I2611" s="607"/>
      <c r="J2611" s="795" t="s">
        <v>3087</v>
      </c>
      <c r="K2611" s="796"/>
      <c r="L2611" s="796"/>
      <c r="M2611" s="796"/>
      <c r="N2611" s="796"/>
      <c r="O2611" s="796"/>
      <c r="P2611" s="796"/>
      <c r="Q2611" s="796"/>
      <c r="R2611" s="796"/>
      <c r="S2611" s="796"/>
      <c r="T2611" s="796"/>
      <c r="U2611" s="797"/>
      <c r="X2611" s="629" t="s">
        <v>1404</v>
      </c>
      <c r="Y2611" s="629" t="s">
        <v>1403</v>
      </c>
      <c r="Z2611" s="630" t="s">
        <v>3715</v>
      </c>
    </row>
    <row r="2612" spans="7:26">
      <c r="G2612" s="607" t="s">
        <v>81</v>
      </c>
      <c r="H2612" s="607"/>
      <c r="I2612" s="607"/>
      <c r="J2612" s="607"/>
      <c r="K2612" s="607"/>
      <c r="L2612" s="622" t="s">
        <v>380</v>
      </c>
      <c r="M2612" s="607" t="s">
        <v>1255</v>
      </c>
      <c r="N2612" s="628" t="s">
        <v>39</v>
      </c>
      <c r="O2612" s="628" t="s">
        <v>39</v>
      </c>
      <c r="P2612" s="1"/>
      <c r="Q2612" s="73">
        <f>SUMIFS(Q$7:Q$2428,$K$7:$K$2428, "&lt;4",$G$7:$G$2428,$G$2612,$M$7:$M$2428,$M2612,$N$7:$N$2428,$N2612)</f>
        <v>11773</v>
      </c>
      <c r="R2612" s="73">
        <f>SUMIFS(R$7:R$2428,$K$7:$K$2428, "&lt;4",$G$7:$G$2428,$G$2612,$M$7:$M$2428,$M2612,$N$7:$N$2428,$N2612)</f>
        <v>11773</v>
      </c>
      <c r="S2612" s="73">
        <f>SUMIFS(S$7:S$2428,$K$7:$K$2428, "&lt;4",$G$7:$G$2428,$G$2612,$M$7:$M$2428,$M2612,$N$7:$N$2428,$N2612)</f>
        <v>12125</v>
      </c>
      <c r="T2612" s="73">
        <f>SUMIFS(T$7:T$2428,$K$7:$K$2428, "&lt;4",$G$7:$G$2428,$G$2612,$M$7:$M$2428,$M2612,$N$7:$N$2428,$N2612)</f>
        <v>12125</v>
      </c>
      <c r="U2612" s="73">
        <f>SUMIFS(U$7:U$2428,$K$7:$K$2428, "&lt;4",$G$7:$G$2428,$G$2612,$M$7:$M$2428,$M2612,$N$7:$N$2428,$N2612)</f>
        <v>1941</v>
      </c>
      <c r="X2612" s="623">
        <f>SUMIFS(T$7:T$2428,U$7:U$2428, "&gt;0",$K$7:$K$2428, "&lt;4",$G$7:$G$2428,$G2612,$M$7:$M$2428,$M2612,$N$7:$N$2428,$N2612)</f>
        <v>12125</v>
      </c>
      <c r="Y2612" s="623">
        <f>SUMIFS(U$7:U$2428,U$7:U$2428, "&gt;0",$K$7:$K$2428, "&lt;4",$G$7:$G$2428,$G2612,$M$7:$M$2428,$M2612,$N$7:$N$2428,$N2612)</f>
        <v>1941</v>
      </c>
      <c r="Z2612" s="624">
        <f>X2612/Y2612</f>
        <v>6.2467800103039668</v>
      </c>
    </row>
    <row r="2613" spans="7:26">
      <c r="G2613" s="607" t="s">
        <v>41</v>
      </c>
      <c r="H2613" s="607"/>
      <c r="I2613" s="607"/>
      <c r="J2613" s="607"/>
      <c r="K2613" s="607"/>
      <c r="L2613" s="622" t="s">
        <v>380</v>
      </c>
      <c r="M2613" s="607" t="s">
        <v>1255</v>
      </c>
      <c r="N2613" s="628" t="s">
        <v>39</v>
      </c>
      <c r="O2613" s="628" t="s">
        <v>39</v>
      </c>
      <c r="P2613" s="1"/>
      <c r="Q2613" s="73">
        <f>SUMIFS(Q$7:Q$2428,$K$7:$K$2428, "&lt;4",$G$7:$G$2428,$G$2613,$M$7:$M$2428,$M2613,$N$7:$N$2428,$N2613)</f>
        <v>2643958</v>
      </c>
      <c r="R2613" s="73">
        <f>SUMIFS(R$7:R$2428,$K$7:$K$2428, "&lt;4",$G$7:$G$2428,$G$2613,$M$7:$M$2428,$M2613,$N$7:$N$2428,$N2613)</f>
        <v>2625010</v>
      </c>
      <c r="S2613" s="73">
        <f>SUMIFS(S$7:S$2428,$K$7:$K$2428, "&lt;4",$G$7:$G$2428,$G$2613,$M$7:$M$2428,$M2613,$N$7:$N$2428,$N2613)</f>
        <v>2718524</v>
      </c>
      <c r="T2613" s="73">
        <f>SUMIFS(T$7:T$2428,$K$7:$K$2428, "&lt;4",$G$7:$G$2428,$G$2613,$M$7:$M$2428,$M2613,$N$7:$N$2428,$N2613)</f>
        <v>2699065</v>
      </c>
      <c r="U2613" s="73">
        <f>SUMIFS(U$7:U$2428,$K$7:$K$2428, "&lt;4",$G$7:$G$2428,$G$2613,$M$7:$M$2428,$M2613,$N$7:$N$2428,$N2613)</f>
        <v>310057.73</v>
      </c>
      <c r="X2613" s="623">
        <f>SUMIFS(T$7:T$2428,U$7:U$2428, "&gt;0",$K$7:$K$2428, "&lt;4",$G$7:$G$2428,$G2613,$M$7:$M$2428,$M2613,$N$7:$N$2428,$N2613)</f>
        <v>2699065</v>
      </c>
      <c r="Y2613" s="623">
        <f>SUMIFS(U$7:U$2428,U$7:U$2428, "&gt;0",$K$7:$K$2428, "&lt;4",$G$7:$G$2428,$G2613,$M$7:$M$2428,$M2613,$N$7:$N$2428,$N2613)</f>
        <v>310057.73</v>
      </c>
      <c r="Z2613" s="624">
        <f>X2613/Y2613</f>
        <v>8.7050401871935268</v>
      </c>
    </row>
    <row r="2614" spans="7:26">
      <c r="G2614" s="607" t="s">
        <v>57</v>
      </c>
      <c r="H2614" s="607"/>
      <c r="I2614" s="607"/>
      <c r="J2614" s="607"/>
      <c r="K2614" s="607"/>
      <c r="L2614" s="622" t="s">
        <v>380</v>
      </c>
      <c r="M2614" s="607" t="s">
        <v>1255</v>
      </c>
      <c r="N2614" s="628" t="s">
        <v>39</v>
      </c>
      <c r="O2614" s="628" t="s">
        <v>39</v>
      </c>
      <c r="Q2614" s="73">
        <f>SUMIFS(Q$7:Q$2428,$K$7:$K$2428, "&lt;4",$G$7:$G$2428,$G$2614,$M$7:$M$2428,$M2614,$N$7:$N$2428,$N2614)</f>
        <v>1735224</v>
      </c>
      <c r="R2614" s="73">
        <f>SUMIFS(R$7:R$2428,$K$7:$K$2428, "&lt;4",$G$7:$G$2428,$G$2614,$M$7:$M$2428,$M2614,$N$7:$N$2428,$N2614)</f>
        <v>1735224</v>
      </c>
      <c r="S2614" s="73">
        <f>SUMIFS(S$7:S$2428,$K$7:$K$2428, "&lt;4",$G$7:$G$2428,$G$2614,$M$7:$M$2428,$M2614,$N$7:$N$2428,$N2614)</f>
        <v>1764402</v>
      </c>
      <c r="T2614" s="73">
        <f>SUMIFS(T$7:T$2428,$K$7:$K$2428, "&lt;4",$G$7:$G$2428,$G$2614,$M$7:$M$2428,$M2614,$N$7:$N$2428,$N2614)</f>
        <v>1764402</v>
      </c>
      <c r="U2614" s="73">
        <f>SUMIFS(U$7:U$2428,$K$7:$K$2428, "&lt;4",$G$7:$G$2428,$G$2614,$M$7:$M$2428,$M2614,$N$7:$N$2428,$N2614)</f>
        <v>262236</v>
      </c>
      <c r="X2614" s="623">
        <f>SUMIFS(T$7:T$2428,U$7:U$2428, "&gt;0",$K$7:$K$2428, "&lt;4",$G$7:$G$2428,$G2614,$M$7:$M$2428,$M2614,$N$7:$N$2428,$N2614)</f>
        <v>1764402</v>
      </c>
      <c r="Y2614" s="623">
        <f>SUMIFS(U$7:U$2428,U$7:U$2428, "&gt;0",$K$7:$K$2428, "&lt;4",$G$7:$G$2428,$G2614,$M$7:$M$2428,$M2614,$N$7:$N$2428,$N2614)</f>
        <v>262236</v>
      </c>
      <c r="Z2614" s="624">
        <f>X2614/Y2614</f>
        <v>6.7282981741637302</v>
      </c>
    </row>
  </sheetData>
  <autoFilter ref="A6:Z2428" xr:uid="{00000000-0009-0000-0000-000004000000}">
    <filterColumn colId="6">
      <filters>
        <filter val="MA"/>
      </filters>
    </filterColumn>
    <filterColumn colId="11">
      <filters>
        <filter val="Electric Utility"/>
        <filter val="NAICS-22 Cogen"/>
        <filter val="NAICS-22 Non-Cogen"/>
      </filters>
    </filterColumn>
    <sortState xmlns:xlrd2="http://schemas.microsoft.com/office/spreadsheetml/2017/richdata2" ref="A7:Z2428">
      <sortCondition ref="A6:A2428"/>
    </sortState>
  </autoFilter>
  <mergeCells count="3">
    <mergeCell ref="A5:P5"/>
    <mergeCell ref="Q5:U5"/>
    <mergeCell ref="J2611:U2611"/>
  </mergeCells>
  <phoneticPr fontId="0" type="noConversion"/>
  <hyperlinks>
    <hyperlink ref="E4" r:id="rId1" xr:uid="{00000000-0004-0000-0400-000000000000}"/>
  </hyperlinks>
  <pageMargins left="0" right="0" top="0.75" bottom="0.75" header="0.5" footer="0.25"/>
  <pageSetup scale="32" fitToHeight="0" orientation="landscape" r:id="rId2"/>
  <headerFooter alignWithMargins="0">
    <oddFooter>&amp;R&amp;A 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tabColor theme="7" tint="0.79998168889431442"/>
    <pageSetUpPr fitToPage="1"/>
  </sheetPr>
  <dimension ref="A1:O441"/>
  <sheetViews>
    <sheetView zoomScaleNormal="100" workbookViewId="0">
      <pane ySplit="1" topLeftCell="A417" activePane="bottomLeft" state="frozen"/>
      <selection pane="bottomLeft" activeCell="B427" sqref="B427"/>
    </sheetView>
  </sheetViews>
  <sheetFormatPr defaultColWidth="8.81640625" defaultRowHeight="12.5"/>
  <cols>
    <col min="1" max="1" width="8" customWidth="1"/>
    <col min="2" max="2" width="36.81640625" customWidth="1"/>
    <col min="3" max="3" width="13.26953125" customWidth="1"/>
    <col min="4" max="4" width="12.81640625" customWidth="1"/>
    <col min="5" max="5" width="9.26953125" customWidth="1"/>
    <col min="6" max="6" width="18.26953125" style="14" customWidth="1"/>
    <col min="7" max="7" width="20.81640625" style="14" customWidth="1"/>
    <col min="8" max="8" width="17.81640625" customWidth="1"/>
    <col min="9" max="9" width="12.453125" customWidth="1"/>
    <col min="10" max="10" width="19" style="25" customWidth="1"/>
    <col min="11" max="11" width="15.453125" customWidth="1"/>
    <col min="12" max="12" width="8.54296875" customWidth="1"/>
    <col min="13" max="13" width="11.54296875" customWidth="1"/>
  </cols>
  <sheetData>
    <row r="1" spans="1:10">
      <c r="A1" t="s">
        <v>1891</v>
      </c>
      <c r="B1" t="s">
        <v>1892</v>
      </c>
      <c r="C1" t="s">
        <v>1893</v>
      </c>
      <c r="D1" t="s">
        <v>1894</v>
      </c>
      <c r="E1" t="s">
        <v>1895</v>
      </c>
      <c r="F1" t="s">
        <v>1896</v>
      </c>
      <c r="G1" t="s">
        <v>1897</v>
      </c>
      <c r="H1" t="s">
        <v>1898</v>
      </c>
      <c r="I1" t="s">
        <v>11</v>
      </c>
      <c r="J1" s="20" t="s">
        <v>1809</v>
      </c>
    </row>
    <row r="2" spans="1:10">
      <c r="A2" t="s">
        <v>41</v>
      </c>
      <c r="B2" t="s">
        <v>242</v>
      </c>
      <c r="C2">
        <v>544</v>
      </c>
      <c r="D2">
        <v>11</v>
      </c>
      <c r="E2">
        <v>2021</v>
      </c>
      <c r="F2" s="611">
        <v>590.20000000000005</v>
      </c>
      <c r="G2" s="15">
        <v>7284</v>
      </c>
      <c r="H2" t="s">
        <v>232</v>
      </c>
      <c r="I2" s="609">
        <f t="shared" ref="I2:I28" si="0">F2</f>
        <v>590.20000000000005</v>
      </c>
    </row>
    <row r="3" spans="1:10">
      <c r="A3" t="s">
        <v>41</v>
      </c>
      <c r="B3" t="s">
        <v>242</v>
      </c>
      <c r="C3">
        <v>544</v>
      </c>
      <c r="D3">
        <v>12</v>
      </c>
      <c r="E3">
        <v>2021</v>
      </c>
      <c r="F3" s="611">
        <v>732.8</v>
      </c>
      <c r="G3" s="15">
        <v>9048</v>
      </c>
      <c r="H3" t="s">
        <v>232</v>
      </c>
      <c r="I3" s="609">
        <f t="shared" si="0"/>
        <v>732.8</v>
      </c>
    </row>
    <row r="4" spans="1:10">
      <c r="A4" t="s">
        <v>41</v>
      </c>
      <c r="B4" t="s">
        <v>242</v>
      </c>
      <c r="C4">
        <v>544</v>
      </c>
      <c r="D4">
        <v>13</v>
      </c>
      <c r="E4">
        <v>2021</v>
      </c>
      <c r="F4" s="611">
        <v>849.4</v>
      </c>
      <c r="G4" s="15">
        <v>10488</v>
      </c>
      <c r="H4" t="s">
        <v>232</v>
      </c>
      <c r="I4" s="609">
        <f t="shared" si="0"/>
        <v>849.4</v>
      </c>
    </row>
    <row r="5" spans="1:10">
      <c r="A5" t="s">
        <v>41</v>
      </c>
      <c r="B5" t="s">
        <v>242</v>
      </c>
      <c r="C5">
        <v>544</v>
      </c>
      <c r="D5">
        <v>14</v>
      </c>
      <c r="E5">
        <v>2021</v>
      </c>
      <c r="F5" s="611">
        <v>592.6</v>
      </c>
      <c r="G5" s="15">
        <v>7316</v>
      </c>
      <c r="H5" t="s">
        <v>232</v>
      </c>
      <c r="I5" s="609">
        <f t="shared" si="0"/>
        <v>592.6</v>
      </c>
    </row>
    <row r="6" spans="1:10">
      <c r="A6" t="s">
        <v>41</v>
      </c>
      <c r="B6" t="s">
        <v>242</v>
      </c>
      <c r="C6">
        <v>544</v>
      </c>
      <c r="D6">
        <v>15</v>
      </c>
      <c r="E6">
        <v>2021</v>
      </c>
      <c r="F6" s="611">
        <v>897.92</v>
      </c>
      <c r="G6" s="15">
        <v>11067.266</v>
      </c>
      <c r="H6" t="s">
        <v>232</v>
      </c>
      <c r="I6" s="609">
        <f t="shared" si="0"/>
        <v>897.92</v>
      </c>
    </row>
    <row r="7" spans="1:10">
      <c r="A7" t="s">
        <v>41</v>
      </c>
      <c r="B7" t="s">
        <v>242</v>
      </c>
      <c r="C7">
        <v>544</v>
      </c>
      <c r="D7">
        <v>16</v>
      </c>
      <c r="E7">
        <v>2021</v>
      </c>
      <c r="F7" s="611">
        <v>1333.8530000000001</v>
      </c>
      <c r="G7" s="15">
        <v>16438.404999999999</v>
      </c>
      <c r="H7" t="s">
        <v>232</v>
      </c>
      <c r="I7" s="609">
        <f t="shared" si="0"/>
        <v>1333.8530000000001</v>
      </c>
    </row>
    <row r="8" spans="1:10">
      <c r="A8" t="s">
        <v>41</v>
      </c>
      <c r="B8" t="s">
        <v>242</v>
      </c>
      <c r="C8">
        <v>544</v>
      </c>
      <c r="D8">
        <v>17</v>
      </c>
      <c r="E8">
        <v>2021</v>
      </c>
      <c r="F8" s="611">
        <v>1034.2850000000001</v>
      </c>
      <c r="G8" s="15">
        <v>12746.174999999999</v>
      </c>
      <c r="H8" t="s">
        <v>232</v>
      </c>
      <c r="I8" s="609">
        <f t="shared" si="0"/>
        <v>1034.2850000000001</v>
      </c>
    </row>
    <row r="9" spans="1:10">
      <c r="A9" t="s">
        <v>41</v>
      </c>
      <c r="B9" t="s">
        <v>242</v>
      </c>
      <c r="C9">
        <v>544</v>
      </c>
      <c r="D9">
        <v>18</v>
      </c>
      <c r="E9">
        <v>2021</v>
      </c>
      <c r="F9" s="611">
        <v>1197.173</v>
      </c>
      <c r="G9" s="15">
        <v>14754.085999999999</v>
      </c>
      <c r="H9" t="s">
        <v>232</v>
      </c>
      <c r="I9" s="609">
        <f t="shared" si="0"/>
        <v>1197.173</v>
      </c>
    </row>
    <row r="10" spans="1:10">
      <c r="A10" t="s">
        <v>41</v>
      </c>
      <c r="B10" t="s">
        <v>251</v>
      </c>
      <c r="C10">
        <v>546</v>
      </c>
      <c r="D10">
        <v>5</v>
      </c>
      <c r="E10">
        <v>2021</v>
      </c>
      <c r="F10" s="611">
        <v>7915.34</v>
      </c>
      <c r="G10" s="15">
        <v>133522.12400000001</v>
      </c>
      <c r="H10" t="s">
        <v>240</v>
      </c>
      <c r="I10" s="609">
        <f t="shared" si="0"/>
        <v>7915.34</v>
      </c>
    </row>
    <row r="11" spans="1:10">
      <c r="A11" t="s">
        <v>41</v>
      </c>
      <c r="B11" t="s">
        <v>251</v>
      </c>
      <c r="C11">
        <v>546</v>
      </c>
      <c r="D11">
        <v>6</v>
      </c>
      <c r="E11">
        <v>2021</v>
      </c>
      <c r="F11" s="611">
        <v>20977.089</v>
      </c>
      <c r="G11" s="15">
        <v>259188.03599999999</v>
      </c>
      <c r="H11" t="s">
        <v>240</v>
      </c>
      <c r="I11" s="609">
        <f t="shared" si="0"/>
        <v>20977.089</v>
      </c>
    </row>
    <row r="12" spans="1:10">
      <c r="A12" t="s">
        <v>41</v>
      </c>
      <c r="B12" t="s">
        <v>83</v>
      </c>
      <c r="C12">
        <v>562</v>
      </c>
      <c r="D12">
        <v>12</v>
      </c>
      <c r="E12">
        <v>2021</v>
      </c>
      <c r="F12" s="611">
        <v>1954.164</v>
      </c>
      <c r="G12" s="15">
        <v>25900.621999999999</v>
      </c>
      <c r="H12" t="s">
        <v>232</v>
      </c>
      <c r="I12" s="609">
        <f t="shared" si="0"/>
        <v>1954.164</v>
      </c>
    </row>
    <row r="13" spans="1:10">
      <c r="A13" t="s">
        <v>41</v>
      </c>
      <c r="B13" t="s">
        <v>83</v>
      </c>
      <c r="C13">
        <v>562</v>
      </c>
      <c r="D13">
        <v>13</v>
      </c>
      <c r="E13">
        <v>2021</v>
      </c>
      <c r="F13" s="611">
        <v>1708.7139999999999</v>
      </c>
      <c r="G13" s="15">
        <v>22892.973999999998</v>
      </c>
      <c r="H13" t="s">
        <v>232</v>
      </c>
      <c r="I13" s="609">
        <f t="shared" si="0"/>
        <v>1708.7139999999999</v>
      </c>
    </row>
    <row r="14" spans="1:10">
      <c r="A14" t="s">
        <v>41</v>
      </c>
      <c r="B14" t="s">
        <v>83</v>
      </c>
      <c r="C14">
        <v>562</v>
      </c>
      <c r="D14">
        <v>14</v>
      </c>
      <c r="E14">
        <v>2021</v>
      </c>
      <c r="F14" s="611">
        <v>1649.895</v>
      </c>
      <c r="G14" s="15">
        <v>22263.19</v>
      </c>
      <c r="H14" t="s">
        <v>232</v>
      </c>
      <c r="I14" s="609">
        <f t="shared" si="0"/>
        <v>1649.895</v>
      </c>
    </row>
    <row r="15" spans="1:10">
      <c r="A15" t="s">
        <v>41</v>
      </c>
      <c r="B15" t="s">
        <v>83</v>
      </c>
      <c r="C15">
        <v>562</v>
      </c>
      <c r="D15">
        <v>15</v>
      </c>
      <c r="E15">
        <v>2021</v>
      </c>
      <c r="F15" s="611">
        <v>1424.5309999999999</v>
      </c>
      <c r="G15" s="15">
        <v>19219.091</v>
      </c>
      <c r="H15" t="s">
        <v>232</v>
      </c>
      <c r="I15" s="609">
        <f t="shared" si="0"/>
        <v>1424.5309999999999</v>
      </c>
    </row>
    <row r="16" spans="1:10">
      <c r="A16" t="s">
        <v>41</v>
      </c>
      <c r="B16" t="s">
        <v>83</v>
      </c>
      <c r="C16">
        <v>562</v>
      </c>
      <c r="D16">
        <v>2</v>
      </c>
      <c r="E16">
        <v>2021</v>
      </c>
      <c r="F16" s="611">
        <v>40833.133999999998</v>
      </c>
      <c r="G16" s="15">
        <v>688723.15800000005</v>
      </c>
      <c r="H16" t="s">
        <v>247</v>
      </c>
      <c r="I16" s="609">
        <f t="shared" si="0"/>
        <v>40833.133999999998</v>
      </c>
    </row>
    <row r="17" spans="1:10">
      <c r="A17" t="s">
        <v>41</v>
      </c>
      <c r="B17" t="s">
        <v>83</v>
      </c>
      <c r="C17">
        <v>562</v>
      </c>
      <c r="D17">
        <v>3</v>
      </c>
      <c r="E17">
        <v>2021</v>
      </c>
      <c r="F17" s="611">
        <v>65822.547999999995</v>
      </c>
      <c r="G17" s="15">
        <v>1110356.4180000001</v>
      </c>
      <c r="H17" t="s">
        <v>238</v>
      </c>
      <c r="I17" s="609">
        <f t="shared" si="0"/>
        <v>65822.547999999995</v>
      </c>
      <c r="J17" s="20"/>
    </row>
    <row r="18" spans="1:10">
      <c r="A18" t="s">
        <v>41</v>
      </c>
      <c r="B18" t="s">
        <v>83</v>
      </c>
      <c r="C18">
        <v>562</v>
      </c>
      <c r="D18">
        <v>4</v>
      </c>
      <c r="E18">
        <v>2021</v>
      </c>
      <c r="F18" s="611">
        <v>9541.848</v>
      </c>
      <c r="G18" s="15">
        <v>117889.936</v>
      </c>
      <c r="H18" t="s">
        <v>240</v>
      </c>
      <c r="I18" s="609">
        <f t="shared" si="0"/>
        <v>9541.848</v>
      </c>
    </row>
    <row r="19" spans="1:10">
      <c r="A19" t="s">
        <v>41</v>
      </c>
      <c r="B19" t="s">
        <v>452</v>
      </c>
      <c r="C19">
        <v>563</v>
      </c>
      <c r="D19" t="s">
        <v>453</v>
      </c>
      <c r="E19">
        <v>2021</v>
      </c>
      <c r="F19" s="611">
        <v>217.2</v>
      </c>
      <c r="G19" s="15">
        <v>2681.1</v>
      </c>
      <c r="H19" t="s">
        <v>232</v>
      </c>
      <c r="I19" s="609">
        <f t="shared" si="0"/>
        <v>217.2</v>
      </c>
    </row>
    <row r="20" spans="1:10">
      <c r="A20" t="s">
        <v>41</v>
      </c>
      <c r="B20" t="s">
        <v>452</v>
      </c>
      <c r="C20">
        <v>563</v>
      </c>
      <c r="D20" t="s">
        <v>454</v>
      </c>
      <c r="E20">
        <v>2021</v>
      </c>
      <c r="F20" s="611">
        <v>215.3</v>
      </c>
      <c r="G20" s="15">
        <v>2659.2</v>
      </c>
      <c r="H20" t="s">
        <v>232</v>
      </c>
      <c r="I20" s="609">
        <f t="shared" si="0"/>
        <v>215.3</v>
      </c>
    </row>
    <row r="21" spans="1:10">
      <c r="A21" t="s">
        <v>41</v>
      </c>
      <c r="B21" t="s">
        <v>452</v>
      </c>
      <c r="C21">
        <v>563</v>
      </c>
      <c r="D21" t="s">
        <v>455</v>
      </c>
      <c r="E21">
        <v>2021</v>
      </c>
      <c r="F21" s="611">
        <v>168.2</v>
      </c>
      <c r="G21" s="15">
        <v>2076.1</v>
      </c>
      <c r="H21" t="s">
        <v>232</v>
      </c>
      <c r="I21" s="609">
        <f t="shared" si="0"/>
        <v>168.2</v>
      </c>
    </row>
    <row r="22" spans="1:10">
      <c r="A22" t="s">
        <v>41</v>
      </c>
      <c r="B22" t="s">
        <v>452</v>
      </c>
      <c r="C22">
        <v>563</v>
      </c>
      <c r="D22" t="s">
        <v>456</v>
      </c>
      <c r="E22">
        <v>2021</v>
      </c>
      <c r="F22" s="611">
        <v>164.2</v>
      </c>
      <c r="G22" s="15">
        <v>2026.1</v>
      </c>
      <c r="H22" t="s">
        <v>232</v>
      </c>
      <c r="I22" s="609">
        <f t="shared" si="0"/>
        <v>164.2</v>
      </c>
    </row>
    <row r="23" spans="1:10">
      <c r="A23" t="s">
        <v>41</v>
      </c>
      <c r="B23" t="s">
        <v>452</v>
      </c>
      <c r="C23">
        <v>563</v>
      </c>
      <c r="D23" t="s">
        <v>457</v>
      </c>
      <c r="E23">
        <v>2021</v>
      </c>
      <c r="F23" s="611">
        <v>238.9</v>
      </c>
      <c r="G23" s="15">
        <v>2951.8</v>
      </c>
      <c r="H23" t="s">
        <v>232</v>
      </c>
      <c r="I23" s="609">
        <f t="shared" si="0"/>
        <v>238.9</v>
      </c>
    </row>
    <row r="24" spans="1:10">
      <c r="A24" t="s">
        <v>41</v>
      </c>
      <c r="B24" t="s">
        <v>452</v>
      </c>
      <c r="C24">
        <v>563</v>
      </c>
      <c r="D24" t="s">
        <v>458</v>
      </c>
      <c r="E24">
        <v>2021</v>
      </c>
      <c r="F24" s="611">
        <v>238.9</v>
      </c>
      <c r="G24" s="15">
        <v>2951.8</v>
      </c>
      <c r="H24" t="s">
        <v>232</v>
      </c>
      <c r="I24" s="609">
        <f t="shared" si="0"/>
        <v>238.9</v>
      </c>
    </row>
    <row r="25" spans="1:10">
      <c r="A25" t="s">
        <v>41</v>
      </c>
      <c r="B25" t="s">
        <v>452</v>
      </c>
      <c r="C25">
        <v>563</v>
      </c>
      <c r="D25" t="s">
        <v>459</v>
      </c>
      <c r="E25">
        <v>2021</v>
      </c>
      <c r="F25" s="611">
        <v>321.8</v>
      </c>
      <c r="G25" s="15">
        <v>3972.2</v>
      </c>
      <c r="H25" t="s">
        <v>232</v>
      </c>
      <c r="I25" s="609">
        <f t="shared" si="0"/>
        <v>321.8</v>
      </c>
    </row>
    <row r="26" spans="1:10">
      <c r="A26" t="s">
        <v>41</v>
      </c>
      <c r="B26" t="s">
        <v>452</v>
      </c>
      <c r="C26">
        <v>563</v>
      </c>
      <c r="D26" t="s">
        <v>460</v>
      </c>
      <c r="E26">
        <v>2021</v>
      </c>
      <c r="F26" s="611">
        <v>321.8</v>
      </c>
      <c r="G26" s="15">
        <v>3972.2</v>
      </c>
      <c r="H26" t="s">
        <v>232</v>
      </c>
      <c r="I26" s="609">
        <f t="shared" si="0"/>
        <v>321.8</v>
      </c>
    </row>
    <row r="27" spans="1:10">
      <c r="A27" t="s">
        <v>41</v>
      </c>
      <c r="B27" t="s">
        <v>237</v>
      </c>
      <c r="C27">
        <v>568</v>
      </c>
      <c r="D27" t="s">
        <v>239</v>
      </c>
      <c r="E27">
        <v>2021</v>
      </c>
      <c r="F27" s="611">
        <v>274870.01</v>
      </c>
      <c r="G27" s="15">
        <v>2620808.29</v>
      </c>
      <c r="H27" t="s">
        <v>240</v>
      </c>
      <c r="I27" s="609">
        <f t="shared" si="0"/>
        <v>274870.01</v>
      </c>
    </row>
    <row r="28" spans="1:10">
      <c r="A28" t="s">
        <v>41</v>
      </c>
      <c r="B28" t="s">
        <v>237</v>
      </c>
      <c r="C28">
        <v>568</v>
      </c>
      <c r="D28" t="s">
        <v>2788</v>
      </c>
      <c r="E28">
        <v>2021</v>
      </c>
      <c r="F28" s="611">
        <v>1433628.6610000001</v>
      </c>
      <c r="G28" s="15">
        <v>24123534.239999998</v>
      </c>
      <c r="H28" t="s">
        <v>235</v>
      </c>
      <c r="I28" s="609">
        <f t="shared" si="0"/>
        <v>1433628.6610000001</v>
      </c>
    </row>
    <row r="29" spans="1:10">
      <c r="A29" t="s">
        <v>41</v>
      </c>
      <c r="B29" t="s">
        <v>375</v>
      </c>
      <c r="C29">
        <v>6156</v>
      </c>
      <c r="D29" t="s">
        <v>252</v>
      </c>
      <c r="E29">
        <v>2021</v>
      </c>
      <c r="F29" s="611">
        <v>25708.548999999999</v>
      </c>
      <c r="G29" s="15">
        <v>387574.435</v>
      </c>
      <c r="H29" t="s">
        <v>240</v>
      </c>
      <c r="I29" s="609">
        <f>F29</f>
        <v>25708.548999999999</v>
      </c>
    </row>
    <row r="30" spans="1:10">
      <c r="A30" t="s">
        <v>41</v>
      </c>
      <c r="B30" t="s">
        <v>375</v>
      </c>
      <c r="C30">
        <v>6156</v>
      </c>
      <c r="D30" t="s">
        <v>1166</v>
      </c>
      <c r="E30">
        <v>2021</v>
      </c>
      <c r="F30" s="611">
        <v>1164.597</v>
      </c>
      <c r="G30" s="15">
        <v>14353.928</v>
      </c>
      <c r="H30" t="s">
        <v>232</v>
      </c>
      <c r="I30" s="609">
        <f>F30</f>
        <v>1164.597</v>
      </c>
    </row>
    <row r="31" spans="1:10">
      <c r="A31" t="s">
        <v>41</v>
      </c>
      <c r="B31" t="s">
        <v>375</v>
      </c>
      <c r="C31">
        <v>6156</v>
      </c>
      <c r="D31" t="s">
        <v>1167</v>
      </c>
      <c r="E31">
        <v>2021</v>
      </c>
      <c r="F31" s="611">
        <v>989.899</v>
      </c>
      <c r="G31" s="15">
        <v>12199.4</v>
      </c>
      <c r="H31" t="s">
        <v>232</v>
      </c>
      <c r="I31" s="609">
        <f>F31</f>
        <v>989.899</v>
      </c>
    </row>
    <row r="32" spans="1:10">
      <c r="A32" t="s">
        <v>41</v>
      </c>
      <c r="B32" t="s">
        <v>375</v>
      </c>
      <c r="C32">
        <v>6156</v>
      </c>
      <c r="D32" t="s">
        <v>1168</v>
      </c>
      <c r="E32">
        <v>2021</v>
      </c>
      <c r="F32" s="611">
        <v>711.59699999999998</v>
      </c>
      <c r="G32" s="15">
        <v>8768.5949999999993</v>
      </c>
      <c r="H32" t="s">
        <v>232</v>
      </c>
      <c r="I32" s="609">
        <f>F32</f>
        <v>711.59699999999998</v>
      </c>
    </row>
    <row r="33" spans="1:10">
      <c r="A33" t="s">
        <v>41</v>
      </c>
      <c r="B33" t="s">
        <v>230</v>
      </c>
      <c r="C33">
        <v>6635</v>
      </c>
      <c r="D33" t="s">
        <v>231</v>
      </c>
      <c r="E33">
        <v>2021</v>
      </c>
      <c r="F33" s="611">
        <v>3557.5940000000001</v>
      </c>
      <c r="G33" s="15">
        <v>58953.108999999997</v>
      </c>
      <c r="H33" t="s">
        <v>232</v>
      </c>
      <c r="I33" s="609">
        <f>F33</f>
        <v>3557.5940000000001</v>
      </c>
    </row>
    <row r="34" spans="1:10">
      <c r="A34" t="s">
        <v>41</v>
      </c>
      <c r="B34" t="s">
        <v>450</v>
      </c>
      <c r="C34">
        <v>10567</v>
      </c>
      <c r="D34" t="s">
        <v>279</v>
      </c>
      <c r="E34">
        <v>2021</v>
      </c>
      <c r="F34" s="15">
        <v>18065.582999999999</v>
      </c>
      <c r="G34" s="15">
        <v>302678.20500000002</v>
      </c>
      <c r="H34" t="s">
        <v>235</v>
      </c>
      <c r="I34" s="609"/>
      <c r="J34" s="20" t="s">
        <v>2080</v>
      </c>
    </row>
    <row r="35" spans="1:10">
      <c r="A35" t="s">
        <v>41</v>
      </c>
      <c r="B35" t="s">
        <v>241</v>
      </c>
      <c r="C35">
        <v>50498</v>
      </c>
      <c r="D35" t="s">
        <v>50</v>
      </c>
      <c r="E35">
        <v>2021</v>
      </c>
      <c r="F35" s="15"/>
      <c r="G35" s="15"/>
      <c r="H35" t="s">
        <v>235</v>
      </c>
      <c r="I35" s="609"/>
      <c r="J35" s="20" t="s">
        <v>2080</v>
      </c>
    </row>
    <row r="36" spans="1:10">
      <c r="A36" t="s">
        <v>41</v>
      </c>
      <c r="B36" t="s">
        <v>451</v>
      </c>
      <c r="C36">
        <v>54605</v>
      </c>
      <c r="D36">
        <v>1</v>
      </c>
      <c r="E36">
        <v>2021</v>
      </c>
      <c r="F36" s="15">
        <v>79889.998999999996</v>
      </c>
      <c r="G36" s="15">
        <v>1344309.5290000001</v>
      </c>
      <c r="H36" t="s">
        <v>232</v>
      </c>
      <c r="I36" s="609"/>
      <c r="J36" s="20" t="s">
        <v>2084</v>
      </c>
    </row>
    <row r="37" spans="1:10">
      <c r="A37" t="s">
        <v>41</v>
      </c>
      <c r="B37" t="s">
        <v>233</v>
      </c>
      <c r="C37">
        <v>55042</v>
      </c>
      <c r="D37" t="s">
        <v>234</v>
      </c>
      <c r="E37">
        <v>2021</v>
      </c>
      <c r="F37" s="611">
        <v>471735.25699999998</v>
      </c>
      <c r="G37" s="15">
        <v>7937868.54</v>
      </c>
      <c r="H37" t="s">
        <v>235</v>
      </c>
      <c r="I37" s="609">
        <f t="shared" ref="I37:I66" si="1">F37</f>
        <v>471735.25699999998</v>
      </c>
    </row>
    <row r="38" spans="1:10">
      <c r="A38" t="s">
        <v>41</v>
      </c>
      <c r="B38" t="s">
        <v>233</v>
      </c>
      <c r="C38">
        <v>55042</v>
      </c>
      <c r="D38" t="s">
        <v>236</v>
      </c>
      <c r="E38">
        <v>2021</v>
      </c>
      <c r="F38" s="611">
        <v>475299.45500000002</v>
      </c>
      <c r="G38" s="15">
        <v>7997859.2019999996</v>
      </c>
      <c r="H38" t="s">
        <v>235</v>
      </c>
      <c r="I38" s="609">
        <f t="shared" si="1"/>
        <v>475299.45500000002</v>
      </c>
    </row>
    <row r="39" spans="1:10">
      <c r="A39" t="s">
        <v>41</v>
      </c>
      <c r="B39" t="s">
        <v>248</v>
      </c>
      <c r="C39">
        <v>55126</v>
      </c>
      <c r="D39" t="s">
        <v>249</v>
      </c>
      <c r="E39">
        <v>2021</v>
      </c>
      <c r="F39" s="611">
        <v>717912.57299999997</v>
      </c>
      <c r="G39" s="15">
        <v>12080134.967</v>
      </c>
      <c r="H39" t="s">
        <v>235</v>
      </c>
      <c r="I39" s="609">
        <f t="shared" si="1"/>
        <v>717912.57299999997</v>
      </c>
    </row>
    <row r="40" spans="1:10">
      <c r="A40" t="s">
        <v>41</v>
      </c>
      <c r="B40" t="s">
        <v>248</v>
      </c>
      <c r="C40">
        <v>55126</v>
      </c>
      <c r="D40" t="s">
        <v>250</v>
      </c>
      <c r="E40">
        <v>2021</v>
      </c>
      <c r="F40" s="611">
        <v>753731.23699999996</v>
      </c>
      <c r="G40" s="15">
        <v>12682870.460000001</v>
      </c>
      <c r="H40" t="s">
        <v>235</v>
      </c>
      <c r="I40" s="609">
        <f t="shared" si="1"/>
        <v>753731.23699999996</v>
      </c>
    </row>
    <row r="41" spans="1:10">
      <c r="A41" t="s">
        <v>41</v>
      </c>
      <c r="B41" t="s">
        <v>243</v>
      </c>
      <c r="C41">
        <v>55149</v>
      </c>
      <c r="D41" t="s">
        <v>244</v>
      </c>
      <c r="E41">
        <v>2021</v>
      </c>
      <c r="F41" s="611">
        <v>786528.31200000003</v>
      </c>
      <c r="G41" s="15">
        <v>13234671.659</v>
      </c>
      <c r="H41" t="s">
        <v>235</v>
      </c>
      <c r="I41" s="609">
        <f t="shared" si="1"/>
        <v>786528.31200000003</v>
      </c>
    </row>
    <row r="42" spans="1:10">
      <c r="A42" t="s">
        <v>41</v>
      </c>
      <c r="B42" t="s">
        <v>243</v>
      </c>
      <c r="C42">
        <v>55149</v>
      </c>
      <c r="D42" t="s">
        <v>245</v>
      </c>
      <c r="E42">
        <v>2021</v>
      </c>
      <c r="F42" s="611">
        <v>814715.91299999994</v>
      </c>
      <c r="G42" s="15">
        <v>13709055.639</v>
      </c>
      <c r="H42" t="s">
        <v>235</v>
      </c>
      <c r="I42" s="609">
        <f t="shared" si="1"/>
        <v>814715.91299999994</v>
      </c>
    </row>
    <row r="43" spans="1:10">
      <c r="A43" t="s">
        <v>41</v>
      </c>
      <c r="B43" t="s">
        <v>243</v>
      </c>
      <c r="C43">
        <v>55149</v>
      </c>
      <c r="D43" t="s">
        <v>246</v>
      </c>
      <c r="E43">
        <v>2021</v>
      </c>
      <c r="F43" s="611">
        <v>666054.51699999999</v>
      </c>
      <c r="G43" s="15">
        <v>11207500.207</v>
      </c>
      <c r="H43" t="s">
        <v>235</v>
      </c>
      <c r="I43" s="609">
        <f t="shared" si="1"/>
        <v>666054.51699999999</v>
      </c>
    </row>
    <row r="44" spans="1:10">
      <c r="A44" t="s">
        <v>41</v>
      </c>
      <c r="B44" t="s">
        <v>1086</v>
      </c>
      <c r="C44">
        <v>55517</v>
      </c>
      <c r="D44" t="s">
        <v>249</v>
      </c>
      <c r="E44">
        <v>2021</v>
      </c>
      <c r="F44" s="611">
        <v>8281.7739999999994</v>
      </c>
      <c r="G44" s="15">
        <v>139354.45000000001</v>
      </c>
      <c r="H44" t="s">
        <v>232</v>
      </c>
      <c r="I44" s="609">
        <f t="shared" si="1"/>
        <v>8281.7739999999994</v>
      </c>
    </row>
    <row r="45" spans="1:10">
      <c r="A45" t="s">
        <v>41</v>
      </c>
      <c r="B45" t="s">
        <v>1086</v>
      </c>
      <c r="C45">
        <v>55517</v>
      </c>
      <c r="D45" t="s">
        <v>250</v>
      </c>
      <c r="E45">
        <v>2021</v>
      </c>
      <c r="F45" s="611">
        <v>9744.3430000000008</v>
      </c>
      <c r="G45" s="15">
        <v>163948.12599999999</v>
      </c>
      <c r="H45" t="s">
        <v>232</v>
      </c>
      <c r="I45" s="609">
        <f t="shared" si="1"/>
        <v>9744.3430000000008</v>
      </c>
    </row>
    <row r="46" spans="1:10">
      <c r="A46" t="s">
        <v>41</v>
      </c>
      <c r="B46" t="s">
        <v>1086</v>
      </c>
      <c r="C46">
        <v>55517</v>
      </c>
      <c r="D46" t="s">
        <v>253</v>
      </c>
      <c r="E46">
        <v>2021</v>
      </c>
      <c r="F46" s="611">
        <v>9138.4840000000004</v>
      </c>
      <c r="G46" s="15">
        <v>153773.07399999999</v>
      </c>
      <c r="H46" t="s">
        <v>232</v>
      </c>
      <c r="I46" s="609">
        <f t="shared" si="1"/>
        <v>9138.4840000000004</v>
      </c>
    </row>
    <row r="47" spans="1:10">
      <c r="A47" t="s">
        <v>41</v>
      </c>
      <c r="B47" t="s">
        <v>1086</v>
      </c>
      <c r="C47">
        <v>55517</v>
      </c>
      <c r="D47" t="s">
        <v>254</v>
      </c>
      <c r="E47">
        <v>2021</v>
      </c>
      <c r="F47" s="611">
        <v>9888.6299999999992</v>
      </c>
      <c r="G47" s="15">
        <v>166395.27900000001</v>
      </c>
      <c r="H47" t="s">
        <v>232</v>
      </c>
      <c r="I47" s="609">
        <f t="shared" si="1"/>
        <v>9888.6299999999992</v>
      </c>
    </row>
    <row r="48" spans="1:10">
      <c r="A48" t="s">
        <v>41</v>
      </c>
      <c r="B48" t="s">
        <v>1086</v>
      </c>
      <c r="C48">
        <v>55517</v>
      </c>
      <c r="D48" t="s">
        <v>255</v>
      </c>
      <c r="E48">
        <v>2021</v>
      </c>
      <c r="F48" s="611">
        <v>10436.325999999999</v>
      </c>
      <c r="G48" s="15">
        <v>175611.48300000001</v>
      </c>
      <c r="H48" t="s">
        <v>232</v>
      </c>
      <c r="I48" s="609">
        <f t="shared" si="1"/>
        <v>10436.325999999999</v>
      </c>
    </row>
    <row r="49" spans="1:10">
      <c r="A49" t="s">
        <v>41</v>
      </c>
      <c r="B49" t="s">
        <v>1086</v>
      </c>
      <c r="C49">
        <v>55517</v>
      </c>
      <c r="D49" t="s">
        <v>2304</v>
      </c>
      <c r="E49">
        <v>2021</v>
      </c>
      <c r="F49" s="611">
        <v>11295.816999999999</v>
      </c>
      <c r="G49" s="15">
        <v>190077.095</v>
      </c>
      <c r="H49" t="s">
        <v>232</v>
      </c>
      <c r="I49" s="609">
        <f t="shared" si="1"/>
        <v>11295.816999999999</v>
      </c>
    </row>
    <row r="50" spans="1:10">
      <c r="A50" t="s">
        <v>41</v>
      </c>
      <c r="B50" t="s">
        <v>1086</v>
      </c>
      <c r="C50">
        <v>55517</v>
      </c>
      <c r="D50" t="s">
        <v>2305</v>
      </c>
      <c r="E50">
        <v>2021</v>
      </c>
      <c r="F50" s="611">
        <v>10601.700999999999</v>
      </c>
      <c r="G50" s="15">
        <v>178376.97200000001</v>
      </c>
      <c r="H50" t="s">
        <v>232</v>
      </c>
      <c r="I50" s="609">
        <f t="shared" si="1"/>
        <v>10601.700999999999</v>
      </c>
    </row>
    <row r="51" spans="1:10">
      <c r="A51" t="s">
        <v>41</v>
      </c>
      <c r="B51" t="s">
        <v>2306</v>
      </c>
      <c r="C51">
        <v>56047</v>
      </c>
      <c r="D51">
        <v>1</v>
      </c>
      <c r="E51">
        <v>2021</v>
      </c>
      <c r="F51" s="611">
        <v>1080437.8659999999</v>
      </c>
      <c r="G51" s="15">
        <v>18179838.602000002</v>
      </c>
      <c r="H51" t="s">
        <v>235</v>
      </c>
      <c r="I51" s="609">
        <f t="shared" si="1"/>
        <v>1080437.8659999999</v>
      </c>
    </row>
    <row r="52" spans="1:10">
      <c r="A52" t="s">
        <v>41</v>
      </c>
      <c r="B52" t="s">
        <v>2306</v>
      </c>
      <c r="C52">
        <v>56047</v>
      </c>
      <c r="D52">
        <v>2</v>
      </c>
      <c r="E52">
        <v>2021</v>
      </c>
      <c r="F52" s="611">
        <v>1107143.183</v>
      </c>
      <c r="G52" s="15">
        <v>18623324.436000001</v>
      </c>
      <c r="H52" t="s">
        <v>235</v>
      </c>
      <c r="I52" s="609">
        <f t="shared" si="1"/>
        <v>1107143.183</v>
      </c>
    </row>
    <row r="53" spans="1:10">
      <c r="A53" t="s">
        <v>41</v>
      </c>
      <c r="B53" t="s">
        <v>461</v>
      </c>
      <c r="C53">
        <v>56629</v>
      </c>
      <c r="D53">
        <v>10</v>
      </c>
      <c r="E53">
        <v>2021</v>
      </c>
      <c r="F53" s="611">
        <v>18925.618999999999</v>
      </c>
      <c r="G53" s="15">
        <v>317100.989</v>
      </c>
      <c r="H53" t="s">
        <v>232</v>
      </c>
      <c r="I53" s="609">
        <f t="shared" si="1"/>
        <v>18925.618999999999</v>
      </c>
    </row>
    <row r="54" spans="1:10">
      <c r="A54" t="s">
        <v>41</v>
      </c>
      <c r="B54" t="s">
        <v>1091</v>
      </c>
      <c r="C54">
        <v>56798</v>
      </c>
      <c r="D54" t="s">
        <v>1092</v>
      </c>
      <c r="E54">
        <v>2021</v>
      </c>
      <c r="F54" s="611">
        <v>470224.63199999998</v>
      </c>
      <c r="G54" s="15">
        <v>7904031.6629999997</v>
      </c>
      <c r="H54" t="s">
        <v>235</v>
      </c>
      <c r="I54" s="609">
        <f t="shared" si="1"/>
        <v>470224.63199999998</v>
      </c>
    </row>
    <row r="55" spans="1:10">
      <c r="A55" t="s">
        <v>41</v>
      </c>
      <c r="B55" t="s">
        <v>1091</v>
      </c>
      <c r="C55">
        <v>56798</v>
      </c>
      <c r="D55" t="s">
        <v>1093</v>
      </c>
      <c r="E55">
        <v>2021</v>
      </c>
      <c r="F55" s="611">
        <v>539609.18000000005</v>
      </c>
      <c r="G55" s="15">
        <v>9071703.9969999995</v>
      </c>
      <c r="H55" t="s">
        <v>235</v>
      </c>
      <c r="I55" s="609">
        <f t="shared" si="1"/>
        <v>539609.18000000005</v>
      </c>
    </row>
    <row r="56" spans="1:10">
      <c r="A56" t="s">
        <v>81</v>
      </c>
      <c r="B56" t="s">
        <v>261</v>
      </c>
      <c r="C56">
        <v>1588</v>
      </c>
      <c r="D56">
        <v>7</v>
      </c>
      <c r="E56">
        <v>2021</v>
      </c>
      <c r="F56" s="611">
        <v>11628.824000000001</v>
      </c>
      <c r="G56" s="15">
        <v>150792.823</v>
      </c>
      <c r="H56" t="s">
        <v>240</v>
      </c>
      <c r="I56" s="609">
        <f t="shared" si="1"/>
        <v>11628.824000000001</v>
      </c>
    </row>
    <row r="57" spans="1:10">
      <c r="A57" t="s">
        <v>81</v>
      </c>
      <c r="B57" t="s">
        <v>261</v>
      </c>
      <c r="C57">
        <v>1588</v>
      </c>
      <c r="D57">
        <v>81</v>
      </c>
      <c r="E57">
        <v>2021</v>
      </c>
      <c r="F57" s="611">
        <v>90590</v>
      </c>
      <c r="G57" s="15">
        <v>1524337.13</v>
      </c>
      <c r="H57" t="s">
        <v>235</v>
      </c>
      <c r="I57" s="609">
        <f t="shared" si="1"/>
        <v>90590</v>
      </c>
    </row>
    <row r="58" spans="1:10">
      <c r="A58" t="s">
        <v>81</v>
      </c>
      <c r="B58" t="s">
        <v>261</v>
      </c>
      <c r="C58">
        <v>1588</v>
      </c>
      <c r="D58">
        <v>82</v>
      </c>
      <c r="E58">
        <v>2021</v>
      </c>
      <c r="F58" s="611">
        <v>140157.81099999999</v>
      </c>
      <c r="G58" s="15">
        <v>2358449.7889999999</v>
      </c>
      <c r="H58" t="s">
        <v>235</v>
      </c>
      <c r="I58" s="609">
        <f t="shared" si="1"/>
        <v>140157.81099999999</v>
      </c>
    </row>
    <row r="59" spans="1:10">
      <c r="A59" t="s">
        <v>81</v>
      </c>
      <c r="B59" t="s">
        <v>261</v>
      </c>
      <c r="C59">
        <v>1588</v>
      </c>
      <c r="D59">
        <v>93</v>
      </c>
      <c r="E59">
        <v>2021</v>
      </c>
      <c r="F59" s="611">
        <v>155598.22399999999</v>
      </c>
      <c r="G59" s="15">
        <v>2618246.463</v>
      </c>
      <c r="H59" t="s">
        <v>235</v>
      </c>
      <c r="I59" s="609">
        <f t="shared" si="1"/>
        <v>155598.22399999999</v>
      </c>
      <c r="J59" s="20"/>
    </row>
    <row r="60" spans="1:10">
      <c r="A60" t="s">
        <v>81</v>
      </c>
      <c r="B60" t="s">
        <v>261</v>
      </c>
      <c r="C60">
        <v>1588</v>
      </c>
      <c r="D60">
        <v>94</v>
      </c>
      <c r="E60">
        <v>2021</v>
      </c>
      <c r="F60" s="611">
        <v>142740.03599999999</v>
      </c>
      <c r="G60" s="15">
        <v>2401890.9929999998</v>
      </c>
      <c r="H60" t="s">
        <v>235</v>
      </c>
      <c r="I60" s="609">
        <f t="shared" si="1"/>
        <v>142740.03599999999</v>
      </c>
      <c r="J60" s="20"/>
    </row>
    <row r="61" spans="1:10">
      <c r="A61" t="s">
        <v>81</v>
      </c>
      <c r="B61" t="s">
        <v>466</v>
      </c>
      <c r="C61">
        <v>1592</v>
      </c>
      <c r="D61" t="s">
        <v>467</v>
      </c>
      <c r="E61">
        <v>2021</v>
      </c>
      <c r="F61" s="611">
        <v>729.2</v>
      </c>
      <c r="G61" s="15">
        <v>8995.5</v>
      </c>
      <c r="H61" t="s">
        <v>232</v>
      </c>
      <c r="I61" s="609">
        <f t="shared" si="1"/>
        <v>729.2</v>
      </c>
    </row>
    <row r="62" spans="1:10">
      <c r="A62" t="s">
        <v>81</v>
      </c>
      <c r="B62" t="s">
        <v>466</v>
      </c>
      <c r="C62">
        <v>1592</v>
      </c>
      <c r="D62" t="s">
        <v>468</v>
      </c>
      <c r="E62">
        <v>2021</v>
      </c>
      <c r="F62" s="611">
        <v>559.1</v>
      </c>
      <c r="G62" s="15">
        <v>6900.6</v>
      </c>
      <c r="H62" t="s">
        <v>232</v>
      </c>
      <c r="I62" s="609">
        <f t="shared" si="1"/>
        <v>559.1</v>
      </c>
    </row>
    <row r="63" spans="1:10">
      <c r="A63" t="s">
        <v>81</v>
      </c>
      <c r="B63" t="s">
        <v>466</v>
      </c>
      <c r="C63">
        <v>1592</v>
      </c>
      <c r="D63" t="s">
        <v>469</v>
      </c>
      <c r="E63">
        <v>2021</v>
      </c>
      <c r="F63" s="611">
        <v>550</v>
      </c>
      <c r="G63" s="15">
        <v>6786.9</v>
      </c>
      <c r="H63" t="s">
        <v>232</v>
      </c>
      <c r="I63" s="609">
        <f t="shared" si="1"/>
        <v>550</v>
      </c>
    </row>
    <row r="64" spans="1:10">
      <c r="A64" t="s">
        <v>81</v>
      </c>
      <c r="B64" t="s">
        <v>466</v>
      </c>
      <c r="C64">
        <v>1592</v>
      </c>
      <c r="D64" t="s">
        <v>470</v>
      </c>
      <c r="E64">
        <v>2021</v>
      </c>
      <c r="F64" s="611">
        <v>514.5</v>
      </c>
      <c r="G64" s="15">
        <v>6351.4</v>
      </c>
      <c r="H64" t="s">
        <v>232</v>
      </c>
      <c r="I64" s="609">
        <f t="shared" si="1"/>
        <v>514.5</v>
      </c>
      <c r="J64" s="20"/>
    </row>
    <row r="65" spans="1:14">
      <c r="A65" t="s">
        <v>81</v>
      </c>
      <c r="B65" t="s">
        <v>466</v>
      </c>
      <c r="C65">
        <v>1592</v>
      </c>
      <c r="D65" t="s">
        <v>471</v>
      </c>
      <c r="E65">
        <v>2021</v>
      </c>
      <c r="F65" s="611">
        <v>824.1</v>
      </c>
      <c r="G65" s="15">
        <v>10168.5</v>
      </c>
      <c r="H65" t="s">
        <v>232</v>
      </c>
      <c r="I65" s="609">
        <f t="shared" si="1"/>
        <v>824.1</v>
      </c>
    </row>
    <row r="66" spans="1:14">
      <c r="A66" t="s">
        <v>81</v>
      </c>
      <c r="B66" t="s">
        <v>466</v>
      </c>
      <c r="C66">
        <v>1592</v>
      </c>
      <c r="D66" t="s">
        <v>472</v>
      </c>
      <c r="E66">
        <v>2021</v>
      </c>
      <c r="F66" s="611">
        <v>650.20000000000005</v>
      </c>
      <c r="G66" s="15">
        <v>8026.6</v>
      </c>
      <c r="H66" t="s">
        <v>232</v>
      </c>
      <c r="I66" s="609">
        <f t="shared" si="1"/>
        <v>650.20000000000005</v>
      </c>
    </row>
    <row r="67" spans="1:14">
      <c r="A67" t="s">
        <v>81</v>
      </c>
      <c r="B67" t="s">
        <v>1681</v>
      </c>
      <c r="C67">
        <v>1595</v>
      </c>
      <c r="D67">
        <v>2</v>
      </c>
      <c r="E67">
        <v>2021</v>
      </c>
      <c r="F67" s="15">
        <v>4810.6369999999997</v>
      </c>
      <c r="G67" s="15">
        <v>80932.202999999994</v>
      </c>
      <c r="H67" t="s">
        <v>247</v>
      </c>
      <c r="I67" s="609"/>
      <c r="J67" s="20" t="s">
        <v>2080</v>
      </c>
    </row>
    <row r="68" spans="1:14">
      <c r="A68" t="s">
        <v>81</v>
      </c>
      <c r="B68" t="s">
        <v>1681</v>
      </c>
      <c r="C68">
        <v>1595</v>
      </c>
      <c r="D68">
        <v>3</v>
      </c>
      <c r="E68">
        <v>2021</v>
      </c>
      <c r="F68" s="15">
        <v>16257.592000000001</v>
      </c>
      <c r="G68" s="15">
        <v>273572.48100000003</v>
      </c>
      <c r="H68" t="s">
        <v>247</v>
      </c>
      <c r="I68" s="609"/>
      <c r="J68" s="20" t="s">
        <v>2080</v>
      </c>
      <c r="K68" s="20"/>
    </row>
    <row r="69" spans="1:14">
      <c r="A69" t="s">
        <v>81</v>
      </c>
      <c r="B69" t="s">
        <v>1681</v>
      </c>
      <c r="C69">
        <v>1595</v>
      </c>
      <c r="D69">
        <v>4</v>
      </c>
      <c r="E69">
        <v>2021</v>
      </c>
      <c r="F69" s="15">
        <v>703839.17599999998</v>
      </c>
      <c r="G69" s="15">
        <v>11830396.963</v>
      </c>
      <c r="H69" t="s">
        <v>235</v>
      </c>
      <c r="I69" s="609"/>
      <c r="J69" s="20" t="s">
        <v>2080</v>
      </c>
    </row>
    <row r="70" spans="1:14">
      <c r="A70" t="s">
        <v>81</v>
      </c>
      <c r="B70" t="s">
        <v>257</v>
      </c>
      <c r="C70">
        <v>1599</v>
      </c>
      <c r="D70">
        <v>1</v>
      </c>
      <c r="E70">
        <v>2021</v>
      </c>
      <c r="F70" s="611">
        <v>17563.794999999998</v>
      </c>
      <c r="G70" s="15">
        <v>216465.34899999999</v>
      </c>
      <c r="H70" t="s">
        <v>247</v>
      </c>
      <c r="I70" s="609">
        <f t="shared" ref="I70:I78" si="2">F70</f>
        <v>17563.794999999998</v>
      </c>
    </row>
    <row r="71" spans="1:14">
      <c r="A71" t="s">
        <v>81</v>
      </c>
      <c r="B71" t="s">
        <v>257</v>
      </c>
      <c r="C71">
        <v>1599</v>
      </c>
      <c r="D71">
        <v>2</v>
      </c>
      <c r="E71">
        <v>2021</v>
      </c>
      <c r="F71" s="611">
        <v>24123.190999999999</v>
      </c>
      <c r="G71" s="15">
        <v>359441.82199999999</v>
      </c>
      <c r="H71" t="s">
        <v>247</v>
      </c>
      <c r="I71" s="609">
        <f t="shared" si="2"/>
        <v>24123.190999999999</v>
      </c>
      <c r="L71" s="23"/>
      <c r="N71" s="24"/>
    </row>
    <row r="72" spans="1:14">
      <c r="A72" t="s">
        <v>81</v>
      </c>
      <c r="B72" t="s">
        <v>257</v>
      </c>
      <c r="C72">
        <v>1599</v>
      </c>
      <c r="D72">
        <v>3</v>
      </c>
      <c r="E72">
        <v>2021</v>
      </c>
      <c r="F72" s="611">
        <v>114722.95600000001</v>
      </c>
      <c r="G72" s="15">
        <v>1927317.307</v>
      </c>
      <c r="H72" t="s">
        <v>232</v>
      </c>
      <c r="I72" s="609">
        <f t="shared" si="2"/>
        <v>114722.95600000001</v>
      </c>
      <c r="L72" s="20"/>
      <c r="M72" s="20"/>
    </row>
    <row r="73" spans="1:14">
      <c r="A73" t="s">
        <v>81</v>
      </c>
      <c r="B73" t="s">
        <v>262</v>
      </c>
      <c r="C73">
        <v>1642</v>
      </c>
      <c r="D73">
        <v>3</v>
      </c>
      <c r="E73">
        <v>2021</v>
      </c>
      <c r="F73" s="611">
        <v>3797.201</v>
      </c>
      <c r="G73" s="15">
        <v>47507.163</v>
      </c>
      <c r="H73" t="s">
        <v>240</v>
      </c>
      <c r="I73" s="609">
        <f t="shared" si="2"/>
        <v>3797.201</v>
      </c>
      <c r="J73" s="20" t="s">
        <v>3067</v>
      </c>
      <c r="L73" s="20"/>
      <c r="M73" s="20"/>
    </row>
    <row r="74" spans="1:14">
      <c r="A74" t="s">
        <v>81</v>
      </c>
      <c r="B74" t="s">
        <v>262</v>
      </c>
      <c r="C74">
        <v>1642</v>
      </c>
      <c r="D74" t="s">
        <v>263</v>
      </c>
      <c r="E74">
        <v>2021</v>
      </c>
      <c r="F74" s="611">
        <v>797.28300000000002</v>
      </c>
      <c r="G74" s="15">
        <v>11861.924999999999</v>
      </c>
      <c r="H74" t="s">
        <v>232</v>
      </c>
      <c r="I74" s="609">
        <f t="shared" si="2"/>
        <v>797.28300000000002</v>
      </c>
      <c r="J74" s="20" t="s">
        <v>3067</v>
      </c>
      <c r="L74" s="20"/>
      <c r="M74" s="20"/>
    </row>
    <row r="75" spans="1:14">
      <c r="A75" t="s">
        <v>81</v>
      </c>
      <c r="B75" t="s">
        <v>262</v>
      </c>
      <c r="C75">
        <v>1642</v>
      </c>
      <c r="D75" t="s">
        <v>264</v>
      </c>
      <c r="E75">
        <v>2021</v>
      </c>
      <c r="F75" s="611">
        <v>882.50099999999998</v>
      </c>
      <c r="G75" s="15">
        <v>13180.556</v>
      </c>
      <c r="H75" t="s">
        <v>232</v>
      </c>
      <c r="I75" s="609">
        <f t="shared" si="2"/>
        <v>882.50099999999998</v>
      </c>
      <c r="J75" s="20" t="s">
        <v>3067</v>
      </c>
      <c r="L75" s="20"/>
      <c r="M75" s="20"/>
    </row>
    <row r="76" spans="1:14">
      <c r="A76" t="s">
        <v>81</v>
      </c>
      <c r="B76" t="s">
        <v>474</v>
      </c>
      <c r="C76">
        <v>1660</v>
      </c>
      <c r="D76">
        <v>3</v>
      </c>
      <c r="E76">
        <v>2021</v>
      </c>
      <c r="F76" s="611"/>
      <c r="G76" s="15"/>
      <c r="H76" t="s">
        <v>235</v>
      </c>
      <c r="I76" s="609">
        <f t="shared" si="2"/>
        <v>0</v>
      </c>
      <c r="J76" s="20" t="s">
        <v>2081</v>
      </c>
    </row>
    <row r="77" spans="1:14">
      <c r="A77" t="s">
        <v>81</v>
      </c>
      <c r="B77" t="s">
        <v>474</v>
      </c>
      <c r="C77">
        <v>1660</v>
      </c>
      <c r="D77">
        <v>4</v>
      </c>
      <c r="E77">
        <v>2021</v>
      </c>
      <c r="F77" s="611">
        <v>7278.7179999999998</v>
      </c>
      <c r="G77" s="15">
        <v>108584.249</v>
      </c>
      <c r="H77" t="s">
        <v>232</v>
      </c>
      <c r="I77" s="609">
        <f t="shared" si="2"/>
        <v>7278.7179999999998</v>
      </c>
      <c r="J77" s="20" t="s">
        <v>2081</v>
      </c>
      <c r="K77" s="20"/>
    </row>
    <row r="78" spans="1:14">
      <c r="A78" t="s">
        <v>81</v>
      </c>
      <c r="B78" t="s">
        <v>474</v>
      </c>
      <c r="C78">
        <v>1660</v>
      </c>
      <c r="D78">
        <v>5</v>
      </c>
      <c r="E78">
        <v>2021</v>
      </c>
      <c r="F78" s="611">
        <v>7446.6019999999999</v>
      </c>
      <c r="G78" s="15">
        <v>112841.898</v>
      </c>
      <c r="H78" t="s">
        <v>232</v>
      </c>
      <c r="I78" s="609">
        <f t="shared" si="2"/>
        <v>7446.6019999999999</v>
      </c>
      <c r="J78" s="20" t="s">
        <v>2081</v>
      </c>
      <c r="K78" s="25"/>
    </row>
    <row r="79" spans="1:14">
      <c r="A79" t="s">
        <v>81</v>
      </c>
      <c r="B79" t="s">
        <v>13</v>
      </c>
      <c r="C79">
        <v>1678</v>
      </c>
      <c r="D79">
        <v>2</v>
      </c>
      <c r="E79">
        <v>2021</v>
      </c>
      <c r="F79" s="15">
        <v>1722.2</v>
      </c>
      <c r="G79" s="15">
        <v>26276.5</v>
      </c>
      <c r="H79" t="s">
        <v>232</v>
      </c>
      <c r="I79" s="609"/>
      <c r="J79" s="20" t="s">
        <v>2082</v>
      </c>
    </row>
    <row r="80" spans="1:14">
      <c r="A80" t="s">
        <v>81</v>
      </c>
      <c r="B80" t="s">
        <v>14</v>
      </c>
      <c r="C80">
        <v>1682</v>
      </c>
      <c r="D80">
        <v>9</v>
      </c>
      <c r="E80">
        <v>2021</v>
      </c>
      <c r="F80" s="611">
        <v>7311.3370000000004</v>
      </c>
      <c r="G80" s="15">
        <v>121813.61900000001</v>
      </c>
      <c r="H80" t="s">
        <v>258</v>
      </c>
      <c r="I80" s="609">
        <f t="shared" ref="I80:I87" si="3">F80</f>
        <v>7311.3370000000004</v>
      </c>
      <c r="J80" s="25" t="s">
        <v>3065</v>
      </c>
    </row>
    <row r="81" spans="1:15">
      <c r="A81" t="s">
        <v>81</v>
      </c>
      <c r="B81" t="s">
        <v>2121</v>
      </c>
      <c r="C81">
        <v>6081</v>
      </c>
      <c r="D81">
        <v>1</v>
      </c>
      <c r="E81">
        <v>2021</v>
      </c>
      <c r="F81" s="611">
        <v>14694.924999999999</v>
      </c>
      <c r="G81" s="15">
        <v>244644.92499999999</v>
      </c>
      <c r="H81" t="s">
        <v>235</v>
      </c>
      <c r="I81" s="609">
        <f t="shared" si="3"/>
        <v>14694.924999999999</v>
      </c>
      <c r="K81" s="25"/>
    </row>
    <row r="82" spans="1:15">
      <c r="A82" t="s">
        <v>81</v>
      </c>
      <c r="B82" t="s">
        <v>2121</v>
      </c>
      <c r="C82">
        <v>6081</v>
      </c>
      <c r="D82">
        <v>2</v>
      </c>
      <c r="E82">
        <v>2021</v>
      </c>
      <c r="F82" s="611">
        <v>2981.15</v>
      </c>
      <c r="G82" s="15">
        <v>49071.85</v>
      </c>
      <c r="H82" t="s">
        <v>235</v>
      </c>
      <c r="I82" s="609">
        <f t="shared" si="3"/>
        <v>2981.15</v>
      </c>
      <c r="K82" s="25"/>
    </row>
    <row r="83" spans="1:15">
      <c r="A83" t="s">
        <v>81</v>
      </c>
      <c r="B83" t="s">
        <v>2121</v>
      </c>
      <c r="C83">
        <v>6081</v>
      </c>
      <c r="D83">
        <v>3</v>
      </c>
      <c r="E83">
        <v>2021</v>
      </c>
      <c r="F83" s="611">
        <v>11989.55</v>
      </c>
      <c r="G83" s="15">
        <v>200281.35</v>
      </c>
      <c r="H83" t="s">
        <v>235</v>
      </c>
      <c r="I83" s="609">
        <f t="shared" si="3"/>
        <v>11989.55</v>
      </c>
    </row>
    <row r="84" spans="1:15">
      <c r="A84" t="s">
        <v>81</v>
      </c>
      <c r="B84" t="s">
        <v>2121</v>
      </c>
      <c r="C84">
        <v>6081</v>
      </c>
      <c r="D84">
        <v>4</v>
      </c>
      <c r="E84">
        <v>2021</v>
      </c>
      <c r="F84" s="611">
        <v>1216</v>
      </c>
      <c r="G84" s="15">
        <v>15014.9</v>
      </c>
      <c r="H84" t="s">
        <v>232</v>
      </c>
      <c r="I84" s="609">
        <f t="shared" si="3"/>
        <v>1216</v>
      </c>
      <c r="J84" s="20"/>
    </row>
    <row r="85" spans="1:15">
      <c r="A85" t="s">
        <v>81</v>
      </c>
      <c r="B85" t="s">
        <v>2121</v>
      </c>
      <c r="C85">
        <v>6081</v>
      </c>
      <c r="D85">
        <v>5</v>
      </c>
      <c r="E85">
        <v>2021</v>
      </c>
      <c r="F85" s="611">
        <v>1347.4</v>
      </c>
      <c r="G85" s="15">
        <v>16631.599999999999</v>
      </c>
      <c r="H85" t="s">
        <v>232</v>
      </c>
      <c r="I85" s="609">
        <f t="shared" si="3"/>
        <v>1347.4</v>
      </c>
      <c r="J85" s="20"/>
      <c r="K85" s="25"/>
    </row>
    <row r="86" spans="1:15">
      <c r="A86" t="s">
        <v>81</v>
      </c>
      <c r="B86" t="s">
        <v>2792</v>
      </c>
      <c r="C86">
        <v>10176</v>
      </c>
      <c r="D86" t="s">
        <v>285</v>
      </c>
      <c r="E86">
        <v>2021</v>
      </c>
      <c r="F86" s="611">
        <v>340.8</v>
      </c>
      <c r="G86" s="15">
        <v>4205.5</v>
      </c>
      <c r="H86" t="s">
        <v>232</v>
      </c>
      <c r="I86" s="609">
        <f t="shared" si="3"/>
        <v>340.8</v>
      </c>
      <c r="K86" s="25"/>
    </row>
    <row r="87" spans="1:15">
      <c r="A87" t="s">
        <v>81</v>
      </c>
      <c r="B87" t="s">
        <v>2792</v>
      </c>
      <c r="C87">
        <v>10176</v>
      </c>
      <c r="D87" t="s">
        <v>286</v>
      </c>
      <c r="E87">
        <v>2021</v>
      </c>
      <c r="F87" s="611">
        <v>131.6</v>
      </c>
      <c r="G87" s="15">
        <v>1623.6</v>
      </c>
      <c r="H87" t="s">
        <v>232</v>
      </c>
      <c r="I87" s="609">
        <f t="shared" si="3"/>
        <v>131.6</v>
      </c>
    </row>
    <row r="88" spans="1:15">
      <c r="A88" t="s">
        <v>81</v>
      </c>
      <c r="B88" t="s">
        <v>256</v>
      </c>
      <c r="C88">
        <v>10307</v>
      </c>
      <c r="D88">
        <v>1</v>
      </c>
      <c r="E88">
        <v>2021</v>
      </c>
      <c r="F88" s="611">
        <v>29856.15</v>
      </c>
      <c r="G88" s="15">
        <v>501496.576</v>
      </c>
      <c r="H88" t="s">
        <v>235</v>
      </c>
      <c r="I88" s="609">
        <f>F88</f>
        <v>29856.15</v>
      </c>
      <c r="J88" s="20"/>
    </row>
    <row r="89" spans="1:15">
      <c r="A89" t="s">
        <v>81</v>
      </c>
      <c r="B89" t="s">
        <v>256</v>
      </c>
      <c r="C89">
        <v>10307</v>
      </c>
      <c r="D89">
        <v>2</v>
      </c>
      <c r="E89">
        <v>2021</v>
      </c>
      <c r="F89" s="611">
        <v>38231.908000000003</v>
      </c>
      <c r="G89" s="15">
        <v>642432.01899999997</v>
      </c>
      <c r="H89" t="s">
        <v>235</v>
      </c>
      <c r="I89" s="609">
        <f>F89</f>
        <v>38231.908000000003</v>
      </c>
    </row>
    <row r="90" spans="1:15">
      <c r="A90" t="s">
        <v>81</v>
      </c>
      <c r="B90" t="s">
        <v>465</v>
      </c>
      <c r="C90">
        <v>10726</v>
      </c>
      <c r="D90">
        <v>1</v>
      </c>
      <c r="E90">
        <v>2021</v>
      </c>
      <c r="F90" s="15">
        <v>68406.675000000003</v>
      </c>
      <c r="G90" s="15">
        <v>1151071.8</v>
      </c>
      <c r="H90" t="s">
        <v>235</v>
      </c>
      <c r="I90" s="609"/>
      <c r="J90" s="25" t="s">
        <v>3068</v>
      </c>
      <c r="K90" s="2"/>
      <c r="M90" s="2"/>
      <c r="O90" s="20"/>
    </row>
    <row r="91" spans="1:15">
      <c r="A91" t="s">
        <v>81</v>
      </c>
      <c r="B91" t="s">
        <v>465</v>
      </c>
      <c r="C91">
        <v>10726</v>
      </c>
      <c r="D91">
        <v>2</v>
      </c>
      <c r="E91">
        <v>2021</v>
      </c>
      <c r="F91" s="15">
        <v>62734.724999999999</v>
      </c>
      <c r="G91" s="15">
        <v>1055641.3999999999</v>
      </c>
      <c r="H91" t="s">
        <v>235</v>
      </c>
      <c r="I91" s="609"/>
      <c r="J91" s="25" t="s">
        <v>3068</v>
      </c>
    </row>
    <row r="92" spans="1:15">
      <c r="A92" t="s">
        <v>81</v>
      </c>
      <c r="B92" t="s">
        <v>462</v>
      </c>
      <c r="C92">
        <v>10823</v>
      </c>
      <c r="D92" t="s">
        <v>463</v>
      </c>
      <c r="E92">
        <v>2021</v>
      </c>
      <c r="F92" s="15">
        <v>895.21500000000003</v>
      </c>
      <c r="G92" s="15">
        <v>11034.591</v>
      </c>
      <c r="H92" t="s">
        <v>232</v>
      </c>
      <c r="I92" s="609"/>
      <c r="J92" s="20" t="s">
        <v>2083</v>
      </c>
    </row>
    <row r="93" spans="1:15">
      <c r="A93" t="s">
        <v>81</v>
      </c>
      <c r="B93" t="s">
        <v>462</v>
      </c>
      <c r="C93">
        <v>10823</v>
      </c>
      <c r="D93" t="s">
        <v>464</v>
      </c>
      <c r="E93">
        <v>2021</v>
      </c>
      <c r="F93" s="15">
        <v>1007.367</v>
      </c>
      <c r="G93" s="15">
        <v>12418.563</v>
      </c>
      <c r="H93" t="s">
        <v>232</v>
      </c>
      <c r="I93" s="609"/>
      <c r="J93" s="20" t="s">
        <v>2083</v>
      </c>
    </row>
    <row r="94" spans="1:15">
      <c r="A94" t="s">
        <v>81</v>
      </c>
      <c r="B94" t="s">
        <v>473</v>
      </c>
      <c r="C94">
        <v>50002</v>
      </c>
      <c r="D94">
        <v>1</v>
      </c>
      <c r="E94">
        <v>2021</v>
      </c>
      <c r="F94" s="611">
        <v>11064.221</v>
      </c>
      <c r="G94" s="15">
        <v>185898.079</v>
      </c>
      <c r="H94" t="s">
        <v>235</v>
      </c>
      <c r="I94" s="609">
        <f>F94</f>
        <v>11064.221</v>
      </c>
      <c r="J94" s="20"/>
    </row>
    <row r="95" spans="1:15">
      <c r="A95" t="s">
        <v>81</v>
      </c>
      <c r="B95" t="s">
        <v>473</v>
      </c>
      <c r="C95">
        <v>50002</v>
      </c>
      <c r="D95">
        <v>2</v>
      </c>
      <c r="E95">
        <v>2021</v>
      </c>
      <c r="F95" s="611">
        <v>12160.213</v>
      </c>
      <c r="G95" s="15">
        <v>204357.247</v>
      </c>
      <c r="H95" t="s">
        <v>235</v>
      </c>
      <c r="I95" s="609">
        <f>F95</f>
        <v>12160.213</v>
      </c>
    </row>
    <row r="96" spans="1:15">
      <c r="A96" t="s">
        <v>81</v>
      </c>
      <c r="B96" t="s">
        <v>473</v>
      </c>
      <c r="C96">
        <v>50002</v>
      </c>
      <c r="D96">
        <v>3</v>
      </c>
      <c r="E96">
        <v>2021</v>
      </c>
      <c r="F96" s="611">
        <v>11696.999</v>
      </c>
      <c r="G96" s="15">
        <v>196568.242</v>
      </c>
      <c r="H96" t="s">
        <v>235</v>
      </c>
      <c r="I96" s="609">
        <f>F96</f>
        <v>11696.999</v>
      </c>
    </row>
    <row r="97" spans="1:10">
      <c r="A97" t="s">
        <v>81</v>
      </c>
      <c r="B97" t="s">
        <v>259</v>
      </c>
      <c r="C97">
        <v>52026</v>
      </c>
      <c r="D97">
        <v>1</v>
      </c>
      <c r="E97">
        <v>2021</v>
      </c>
      <c r="F97" s="15">
        <v>15598.867</v>
      </c>
      <c r="G97" s="15">
        <v>262226.141</v>
      </c>
      <c r="H97" t="s">
        <v>235</v>
      </c>
      <c r="I97" s="609"/>
      <c r="J97" s="20" t="s">
        <v>2082</v>
      </c>
    </row>
    <row r="98" spans="1:10">
      <c r="A98" t="s">
        <v>81</v>
      </c>
      <c r="B98" t="s">
        <v>1899</v>
      </c>
      <c r="C98">
        <v>54586</v>
      </c>
      <c r="D98">
        <v>2</v>
      </c>
      <c r="E98">
        <v>2021</v>
      </c>
      <c r="F98" s="611">
        <v>13427.871999999999</v>
      </c>
      <c r="G98" s="15">
        <v>225642.96100000001</v>
      </c>
      <c r="H98" t="s">
        <v>235</v>
      </c>
      <c r="I98" s="609">
        <f t="shared" ref="I98:I110" si="4">F98</f>
        <v>13427.871999999999</v>
      </c>
      <c r="J98" s="20"/>
    </row>
    <row r="99" spans="1:10">
      <c r="A99" t="s">
        <v>81</v>
      </c>
      <c r="B99" t="s">
        <v>1682</v>
      </c>
      <c r="C99">
        <v>54805</v>
      </c>
      <c r="D99">
        <v>1</v>
      </c>
      <c r="E99">
        <v>2021</v>
      </c>
      <c r="F99" s="611">
        <v>130000.09</v>
      </c>
      <c r="G99" s="15">
        <v>2187527.0830000001</v>
      </c>
      <c r="H99" t="s">
        <v>235</v>
      </c>
      <c r="I99" s="609">
        <f t="shared" si="4"/>
        <v>130000.09</v>
      </c>
    </row>
    <row r="100" spans="1:10">
      <c r="A100" t="s">
        <v>81</v>
      </c>
      <c r="B100" t="s">
        <v>260</v>
      </c>
      <c r="C100">
        <v>55026</v>
      </c>
      <c r="D100">
        <v>1</v>
      </c>
      <c r="E100">
        <v>2021</v>
      </c>
      <c r="F100" s="611">
        <v>121340.86599999999</v>
      </c>
      <c r="G100" s="15">
        <v>2041781.513</v>
      </c>
      <c r="H100" t="s">
        <v>235</v>
      </c>
      <c r="I100" s="609">
        <f t="shared" si="4"/>
        <v>121340.86599999999</v>
      </c>
    </row>
    <row r="101" spans="1:10">
      <c r="A101" t="s">
        <v>81</v>
      </c>
      <c r="B101" t="s">
        <v>161</v>
      </c>
      <c r="C101">
        <v>55041</v>
      </c>
      <c r="D101">
        <v>1</v>
      </c>
      <c r="E101">
        <v>2021</v>
      </c>
      <c r="F101" s="611">
        <v>339062.49599999998</v>
      </c>
      <c r="G101" s="15">
        <v>5705305.6169999996</v>
      </c>
      <c r="H101" t="s">
        <v>235</v>
      </c>
      <c r="I101" s="609">
        <f t="shared" si="4"/>
        <v>339062.49599999998</v>
      </c>
    </row>
    <row r="102" spans="1:10">
      <c r="A102" t="s">
        <v>81</v>
      </c>
      <c r="B102" t="s">
        <v>168</v>
      </c>
      <c r="C102">
        <v>55079</v>
      </c>
      <c r="D102">
        <v>1</v>
      </c>
      <c r="E102">
        <v>2021</v>
      </c>
      <c r="F102" s="611">
        <v>296018.52899999998</v>
      </c>
      <c r="G102" s="15">
        <v>4981078.6069999998</v>
      </c>
      <c r="H102" t="s">
        <v>235</v>
      </c>
      <c r="I102" s="609">
        <f t="shared" si="4"/>
        <v>296018.52899999998</v>
      </c>
      <c r="J102" s="20"/>
    </row>
    <row r="103" spans="1:10">
      <c r="A103" t="s">
        <v>81</v>
      </c>
      <c r="B103" t="s">
        <v>3096</v>
      </c>
      <c r="C103">
        <v>55211</v>
      </c>
      <c r="D103">
        <v>1</v>
      </c>
      <c r="E103">
        <v>2021</v>
      </c>
      <c r="F103" s="611">
        <v>522003.84299999999</v>
      </c>
      <c r="G103" s="15">
        <v>8783697.0449999999</v>
      </c>
      <c r="H103" t="s">
        <v>235</v>
      </c>
      <c r="I103" s="609">
        <f t="shared" si="4"/>
        <v>522003.84299999999</v>
      </c>
    </row>
    <row r="104" spans="1:10">
      <c r="A104" t="s">
        <v>81</v>
      </c>
      <c r="B104" t="s">
        <v>3096</v>
      </c>
      <c r="C104">
        <v>55211</v>
      </c>
      <c r="D104">
        <v>2</v>
      </c>
      <c r="E104">
        <v>2021</v>
      </c>
      <c r="F104" s="611">
        <v>523131.63699999999</v>
      </c>
      <c r="G104" s="15">
        <v>8802784.3239999991</v>
      </c>
      <c r="H104" t="s">
        <v>235</v>
      </c>
      <c r="I104" s="609">
        <f t="shared" si="4"/>
        <v>523131.63699999999</v>
      </c>
    </row>
    <row r="105" spans="1:10">
      <c r="A105" t="s">
        <v>81</v>
      </c>
      <c r="B105" t="s">
        <v>3097</v>
      </c>
      <c r="C105">
        <v>55212</v>
      </c>
      <c r="D105">
        <v>1</v>
      </c>
      <c r="E105">
        <v>2021</v>
      </c>
      <c r="F105" s="611">
        <v>474849.40500000003</v>
      </c>
      <c r="G105" s="15">
        <v>7990234.0630000001</v>
      </c>
      <c r="H105" t="s">
        <v>235</v>
      </c>
      <c r="I105" s="609">
        <f t="shared" si="4"/>
        <v>474849.40500000003</v>
      </c>
      <c r="J105" s="20"/>
    </row>
    <row r="106" spans="1:10">
      <c r="A106" t="s">
        <v>81</v>
      </c>
      <c r="B106" t="s">
        <v>3097</v>
      </c>
      <c r="C106">
        <v>55212</v>
      </c>
      <c r="D106">
        <v>2</v>
      </c>
      <c r="E106">
        <v>2021</v>
      </c>
      <c r="F106" s="611">
        <v>546092.12800000003</v>
      </c>
      <c r="G106" s="15">
        <v>9189085.5700000003</v>
      </c>
      <c r="H106" t="s">
        <v>235</v>
      </c>
      <c r="I106" s="609">
        <f t="shared" si="4"/>
        <v>546092.12800000003</v>
      </c>
      <c r="J106" s="20"/>
    </row>
    <row r="107" spans="1:10">
      <c r="A107" t="s">
        <v>81</v>
      </c>
      <c r="B107" t="s">
        <v>1804</v>
      </c>
      <c r="C107">
        <v>55317</v>
      </c>
      <c r="D107">
        <v>11</v>
      </c>
      <c r="E107">
        <v>2021</v>
      </c>
      <c r="F107" s="611">
        <v>689662.78</v>
      </c>
      <c r="G107" s="15">
        <v>11591527.539000001</v>
      </c>
      <c r="H107" t="s">
        <v>235</v>
      </c>
      <c r="I107" s="609">
        <f t="shared" si="4"/>
        <v>689662.78</v>
      </c>
    </row>
    <row r="108" spans="1:10">
      <c r="A108" t="s">
        <v>81</v>
      </c>
      <c r="B108" t="s">
        <v>1804</v>
      </c>
      <c r="C108">
        <v>55317</v>
      </c>
      <c r="D108">
        <v>12</v>
      </c>
      <c r="E108">
        <v>2021</v>
      </c>
      <c r="F108" s="611">
        <v>872103.60400000005</v>
      </c>
      <c r="G108" s="15">
        <v>14663598.062000001</v>
      </c>
      <c r="H108" t="s">
        <v>235</v>
      </c>
      <c r="I108" s="609">
        <f t="shared" si="4"/>
        <v>872103.60400000005</v>
      </c>
    </row>
    <row r="109" spans="1:10">
      <c r="A109" t="s">
        <v>81</v>
      </c>
      <c r="B109" t="s">
        <v>2789</v>
      </c>
      <c r="C109">
        <v>59882</v>
      </c>
      <c r="D109" t="s">
        <v>2790</v>
      </c>
      <c r="E109">
        <v>2021</v>
      </c>
      <c r="F109" s="611">
        <v>54529.599999999999</v>
      </c>
      <c r="G109" s="15">
        <v>916783.853</v>
      </c>
      <c r="H109" t="s">
        <v>232</v>
      </c>
      <c r="I109" s="609">
        <f t="shared" si="4"/>
        <v>54529.599999999999</v>
      </c>
      <c r="J109" s="25" t="s">
        <v>3676</v>
      </c>
    </row>
    <row r="110" spans="1:10">
      <c r="A110" t="s">
        <v>81</v>
      </c>
      <c r="B110" t="s">
        <v>2789</v>
      </c>
      <c r="C110">
        <v>59882</v>
      </c>
      <c r="D110" t="s">
        <v>2791</v>
      </c>
      <c r="E110">
        <v>2021</v>
      </c>
      <c r="F110" s="611">
        <v>52437.800999999999</v>
      </c>
      <c r="G110" s="15">
        <v>881700.90300000005</v>
      </c>
      <c r="H110" t="s">
        <v>232</v>
      </c>
      <c r="I110" s="609">
        <f t="shared" si="4"/>
        <v>52437.800999999999</v>
      </c>
      <c r="J110" s="25" t="s">
        <v>3676</v>
      </c>
    </row>
    <row r="111" spans="1:10">
      <c r="A111" t="s">
        <v>81</v>
      </c>
      <c r="B111" t="s">
        <v>2307</v>
      </c>
      <c r="C111">
        <v>60903</v>
      </c>
      <c r="D111">
        <v>1</v>
      </c>
      <c r="E111">
        <v>2021</v>
      </c>
      <c r="F111" s="611">
        <v>192390.79800000001</v>
      </c>
      <c r="G111" s="15">
        <v>3237343.4240000001</v>
      </c>
      <c r="H111" t="s">
        <v>235</v>
      </c>
      <c r="I111" s="609">
        <f>F111</f>
        <v>192390.79800000001</v>
      </c>
    </row>
    <row r="112" spans="1:10">
      <c r="A112" t="s">
        <v>81</v>
      </c>
      <c r="B112" t="s">
        <v>2307</v>
      </c>
      <c r="C112">
        <v>60903</v>
      </c>
      <c r="D112">
        <v>2</v>
      </c>
      <c r="E112">
        <v>2021</v>
      </c>
      <c r="F112" s="611">
        <v>129725.83</v>
      </c>
      <c r="G112" s="15">
        <v>2182883.8820000002</v>
      </c>
      <c r="H112" t="s">
        <v>235</v>
      </c>
      <c r="I112" s="609">
        <f>F112</f>
        <v>129725.83</v>
      </c>
    </row>
    <row r="113" spans="1:10">
      <c r="A113" t="s">
        <v>90</v>
      </c>
      <c r="B113" t="s">
        <v>4</v>
      </c>
      <c r="C113">
        <v>1507</v>
      </c>
      <c r="D113">
        <v>3</v>
      </c>
      <c r="E113">
        <v>2021</v>
      </c>
      <c r="F113" s="611">
        <v>3697.4929999999999</v>
      </c>
      <c r="G113" s="15">
        <v>43050.383999999998</v>
      </c>
      <c r="H113" t="s">
        <v>240</v>
      </c>
      <c r="I113" s="609">
        <f>F113</f>
        <v>3697.4929999999999</v>
      </c>
      <c r="J113" s="25" t="s">
        <v>3066</v>
      </c>
    </row>
    <row r="114" spans="1:10">
      <c r="A114" t="s">
        <v>90</v>
      </c>
      <c r="B114" t="s">
        <v>4</v>
      </c>
      <c r="C114">
        <v>1507</v>
      </c>
      <c r="D114">
        <v>4</v>
      </c>
      <c r="E114">
        <v>2021</v>
      </c>
      <c r="F114" s="611">
        <v>5600.5039999999999</v>
      </c>
      <c r="G114" s="15">
        <v>65113.752999999997</v>
      </c>
      <c r="H114" t="s">
        <v>247</v>
      </c>
      <c r="I114" s="609">
        <f>F114</f>
        <v>5600.5039999999999</v>
      </c>
      <c r="J114" s="25" t="s">
        <v>3066</v>
      </c>
    </row>
    <row r="115" spans="1:10">
      <c r="A115" t="s">
        <v>90</v>
      </c>
      <c r="B115" t="s">
        <v>1689</v>
      </c>
      <c r="C115">
        <v>50243</v>
      </c>
      <c r="D115" t="s">
        <v>266</v>
      </c>
      <c r="E115">
        <v>2021</v>
      </c>
      <c r="F115" s="611">
        <v>4364.1030000000001</v>
      </c>
      <c r="G115" s="15">
        <v>72829.75</v>
      </c>
      <c r="H115" t="s">
        <v>235</v>
      </c>
      <c r="I115" s="609">
        <f>F115</f>
        <v>4364.1030000000001</v>
      </c>
      <c r="J115" s="25" t="s">
        <v>3353</v>
      </c>
    </row>
    <row r="116" spans="1:10">
      <c r="A116" t="s">
        <v>90</v>
      </c>
      <c r="B116" t="s">
        <v>265</v>
      </c>
      <c r="C116">
        <v>55031</v>
      </c>
      <c r="D116" t="s">
        <v>249</v>
      </c>
      <c r="E116">
        <v>2021</v>
      </c>
      <c r="F116" s="15">
        <v>189827.10800000001</v>
      </c>
      <c r="G116" s="15">
        <v>3193247.4989999998</v>
      </c>
      <c r="H116" t="s">
        <v>232</v>
      </c>
      <c r="I116" s="609"/>
      <c r="J116" s="20" t="s">
        <v>2080</v>
      </c>
    </row>
    <row r="117" spans="1:10">
      <c r="A117" t="s">
        <v>90</v>
      </c>
      <c r="B117" t="s">
        <v>265</v>
      </c>
      <c r="C117">
        <v>55031</v>
      </c>
      <c r="D117" t="s">
        <v>250</v>
      </c>
      <c r="E117">
        <v>2021</v>
      </c>
      <c r="F117" s="15">
        <v>97545.862999999998</v>
      </c>
      <c r="G117" s="15">
        <v>1640990.703</v>
      </c>
      <c r="H117" t="s">
        <v>232</v>
      </c>
      <c r="I117" s="609"/>
      <c r="J117" s="20" t="s">
        <v>2080</v>
      </c>
    </row>
    <row r="118" spans="1:10">
      <c r="A118" t="s">
        <v>90</v>
      </c>
      <c r="B118" t="s">
        <v>265</v>
      </c>
      <c r="C118">
        <v>55031</v>
      </c>
      <c r="D118" t="s">
        <v>253</v>
      </c>
      <c r="E118">
        <v>2021</v>
      </c>
      <c r="F118" s="15">
        <v>13400.782999999999</v>
      </c>
      <c r="G118" s="15">
        <v>223359.652</v>
      </c>
      <c r="H118" t="s">
        <v>232</v>
      </c>
      <c r="I118" s="609"/>
      <c r="J118" s="20" t="s">
        <v>2080</v>
      </c>
    </row>
    <row r="119" spans="1:10">
      <c r="A119" t="s">
        <v>90</v>
      </c>
      <c r="B119" t="s">
        <v>166</v>
      </c>
      <c r="C119">
        <v>55068</v>
      </c>
      <c r="D119">
        <v>1</v>
      </c>
      <c r="E119">
        <v>2021</v>
      </c>
      <c r="F119" s="611">
        <v>63810.675999999999</v>
      </c>
      <c r="G119" s="15">
        <v>1073759.2590000001</v>
      </c>
      <c r="H119" t="s">
        <v>235</v>
      </c>
      <c r="I119" s="609">
        <f t="shared" ref="I119:I125" si="5">F119</f>
        <v>63810.675999999999</v>
      </c>
    </row>
    <row r="120" spans="1:10">
      <c r="A120" t="s">
        <v>90</v>
      </c>
      <c r="B120" t="s">
        <v>166</v>
      </c>
      <c r="C120">
        <v>55068</v>
      </c>
      <c r="D120">
        <v>2</v>
      </c>
      <c r="E120">
        <v>2021</v>
      </c>
      <c r="F120" s="611">
        <v>172167.432</v>
      </c>
      <c r="G120" s="15">
        <v>2897058.906</v>
      </c>
      <c r="H120" t="s">
        <v>235</v>
      </c>
      <c r="I120" s="609">
        <f t="shared" si="5"/>
        <v>172167.432</v>
      </c>
    </row>
    <row r="121" spans="1:10">
      <c r="A121" t="s">
        <v>90</v>
      </c>
      <c r="B121" t="s">
        <v>169</v>
      </c>
      <c r="C121">
        <v>55100</v>
      </c>
      <c r="D121">
        <v>1</v>
      </c>
      <c r="E121">
        <v>2021</v>
      </c>
      <c r="F121" s="611">
        <v>145037.74</v>
      </c>
      <c r="G121" s="15">
        <v>2440563.0359999998</v>
      </c>
      <c r="H121" t="s">
        <v>235</v>
      </c>
      <c r="I121" s="609">
        <f t="shared" si="5"/>
        <v>145037.74</v>
      </c>
      <c r="J121" s="20"/>
    </row>
    <row r="122" spans="1:10">
      <c r="A122" t="s">
        <v>90</v>
      </c>
      <c r="B122" t="s">
        <v>180</v>
      </c>
      <c r="C122">
        <v>55294</v>
      </c>
      <c r="D122">
        <v>1</v>
      </c>
      <c r="E122">
        <v>2021</v>
      </c>
      <c r="F122" s="611">
        <v>372011.09899999999</v>
      </c>
      <c r="G122" s="15">
        <v>6259755.5190000003</v>
      </c>
      <c r="H122" t="s">
        <v>235</v>
      </c>
      <c r="I122" s="609">
        <f t="shared" si="5"/>
        <v>372011.09899999999</v>
      </c>
      <c r="J122" s="20"/>
    </row>
    <row r="123" spans="1:10">
      <c r="A123" t="s">
        <v>90</v>
      </c>
      <c r="B123" t="s">
        <v>180</v>
      </c>
      <c r="C123">
        <v>55294</v>
      </c>
      <c r="D123">
        <v>2</v>
      </c>
      <c r="E123">
        <v>2021</v>
      </c>
      <c r="F123" s="611">
        <v>398999.38799999998</v>
      </c>
      <c r="G123" s="15">
        <v>6713914.2029999997</v>
      </c>
      <c r="H123" t="s">
        <v>235</v>
      </c>
      <c r="I123" s="609">
        <f t="shared" si="5"/>
        <v>398999.38799999998</v>
      </c>
    </row>
    <row r="124" spans="1:10">
      <c r="A124" t="s">
        <v>96</v>
      </c>
      <c r="B124" t="s">
        <v>101</v>
      </c>
      <c r="C124">
        <v>2364</v>
      </c>
      <c r="D124">
        <v>1</v>
      </c>
      <c r="E124">
        <v>2021</v>
      </c>
      <c r="F124" s="611">
        <v>139380.50899999999</v>
      </c>
      <c r="G124" s="15">
        <v>1358471.8030000001</v>
      </c>
      <c r="H124" t="s">
        <v>238</v>
      </c>
      <c r="I124" s="609">
        <f t="shared" si="5"/>
        <v>139380.50899999999</v>
      </c>
    </row>
    <row r="125" spans="1:10">
      <c r="A125" t="s">
        <v>96</v>
      </c>
      <c r="B125" t="s">
        <v>101</v>
      </c>
      <c r="C125">
        <v>2364</v>
      </c>
      <c r="D125">
        <v>2</v>
      </c>
      <c r="E125">
        <v>2021</v>
      </c>
      <c r="F125" s="611">
        <v>186616.823</v>
      </c>
      <c r="G125" s="15">
        <v>1818872.176</v>
      </c>
      <c r="H125" t="s">
        <v>238</v>
      </c>
      <c r="I125" s="609">
        <f t="shared" si="5"/>
        <v>186616.823</v>
      </c>
    </row>
    <row r="126" spans="1:10">
      <c r="A126" t="s">
        <v>96</v>
      </c>
      <c r="B126" t="s">
        <v>102</v>
      </c>
      <c r="C126">
        <v>2367</v>
      </c>
      <c r="D126">
        <v>4</v>
      </c>
      <c r="E126">
        <v>2021</v>
      </c>
      <c r="F126" s="15"/>
      <c r="G126" s="15"/>
      <c r="H126" t="s">
        <v>247</v>
      </c>
      <c r="I126" s="609"/>
      <c r="J126" s="20" t="s">
        <v>2085</v>
      </c>
    </row>
    <row r="127" spans="1:10">
      <c r="A127" t="s">
        <v>96</v>
      </c>
      <c r="B127" t="s">
        <v>102</v>
      </c>
      <c r="C127">
        <v>2367</v>
      </c>
      <c r="D127">
        <v>5</v>
      </c>
      <c r="E127">
        <v>2021</v>
      </c>
      <c r="F127" s="15"/>
      <c r="G127" s="15"/>
      <c r="H127" t="s">
        <v>268</v>
      </c>
      <c r="I127" s="609"/>
      <c r="J127" s="20" t="s">
        <v>2085</v>
      </c>
    </row>
    <row r="128" spans="1:10">
      <c r="A128" t="s">
        <v>96</v>
      </c>
      <c r="B128" t="s">
        <v>102</v>
      </c>
      <c r="C128">
        <v>2367</v>
      </c>
      <c r="D128">
        <v>6</v>
      </c>
      <c r="E128">
        <v>2021</v>
      </c>
      <c r="F128" s="15"/>
      <c r="G128" s="15"/>
      <c r="H128" t="s">
        <v>247</v>
      </c>
      <c r="I128" s="609"/>
      <c r="J128" s="20" t="s">
        <v>2085</v>
      </c>
    </row>
    <row r="129" spans="1:10">
      <c r="A129" t="s">
        <v>96</v>
      </c>
      <c r="B129" t="s">
        <v>146</v>
      </c>
      <c r="C129">
        <v>8002</v>
      </c>
      <c r="D129">
        <v>1</v>
      </c>
      <c r="E129">
        <v>2021</v>
      </c>
      <c r="F129" s="611">
        <v>50607.084000000003</v>
      </c>
      <c r="G129" s="15">
        <v>784320.61199999996</v>
      </c>
      <c r="H129" t="s">
        <v>240</v>
      </c>
      <c r="I129" s="609">
        <f t="shared" ref="I129:I139" si="6">F129</f>
        <v>50607.084000000003</v>
      </c>
    </row>
    <row r="130" spans="1:10">
      <c r="A130" t="s">
        <v>96</v>
      </c>
      <c r="B130" t="s">
        <v>267</v>
      </c>
      <c r="C130">
        <v>55170</v>
      </c>
      <c r="D130">
        <v>1</v>
      </c>
      <c r="E130">
        <v>2021</v>
      </c>
      <c r="F130" s="611">
        <v>661710.36800000002</v>
      </c>
      <c r="G130" s="15">
        <v>11134561.287</v>
      </c>
      <c r="H130" t="s">
        <v>235</v>
      </c>
      <c r="I130" s="609">
        <f t="shared" si="6"/>
        <v>661710.36800000002</v>
      </c>
      <c r="J130" s="20"/>
    </row>
    <row r="131" spans="1:10">
      <c r="A131" t="s">
        <v>96</v>
      </c>
      <c r="B131" t="s">
        <v>267</v>
      </c>
      <c r="C131">
        <v>55170</v>
      </c>
      <c r="D131">
        <v>2</v>
      </c>
      <c r="E131">
        <v>2021</v>
      </c>
      <c r="F131" s="611">
        <v>705417.39099999995</v>
      </c>
      <c r="G131" s="15">
        <v>11869924.301000001</v>
      </c>
      <c r="H131" t="s">
        <v>235</v>
      </c>
      <c r="I131" s="609">
        <f t="shared" si="6"/>
        <v>705417.39099999995</v>
      </c>
    </row>
    <row r="132" spans="1:10">
      <c r="A132" t="s">
        <v>96</v>
      </c>
      <c r="B132" t="s">
        <v>2122</v>
      </c>
      <c r="C132">
        <v>55661</v>
      </c>
      <c r="D132">
        <v>1</v>
      </c>
      <c r="E132">
        <v>2021</v>
      </c>
      <c r="F132" s="611">
        <v>275277.962</v>
      </c>
      <c r="G132" s="15">
        <v>4568006.6289999997</v>
      </c>
      <c r="H132" t="s">
        <v>235</v>
      </c>
      <c r="I132" s="609">
        <f t="shared" si="6"/>
        <v>275277.962</v>
      </c>
    </row>
    <row r="133" spans="1:10">
      <c r="A133" t="s">
        <v>96</v>
      </c>
      <c r="B133" t="s">
        <v>2122</v>
      </c>
      <c r="C133">
        <v>55661</v>
      </c>
      <c r="D133">
        <v>2</v>
      </c>
      <c r="E133">
        <v>2021</v>
      </c>
      <c r="F133" s="611">
        <v>272346.63299999997</v>
      </c>
      <c r="G133" s="15">
        <v>4529192.9419999998</v>
      </c>
      <c r="H133" t="s">
        <v>235</v>
      </c>
      <c r="I133" s="609">
        <f t="shared" si="6"/>
        <v>272346.63299999997</v>
      </c>
    </row>
    <row r="134" spans="1:10">
      <c r="A134" t="s">
        <v>57</v>
      </c>
      <c r="B134" t="s">
        <v>103</v>
      </c>
      <c r="C134">
        <v>2480</v>
      </c>
      <c r="D134">
        <v>1</v>
      </c>
      <c r="E134">
        <v>2021</v>
      </c>
      <c r="F134" s="611">
        <v>1343.962</v>
      </c>
      <c r="G134" s="15">
        <v>22676.617999999999</v>
      </c>
      <c r="H134" t="s">
        <v>240</v>
      </c>
      <c r="I134" s="609">
        <f t="shared" si="6"/>
        <v>1343.962</v>
      </c>
      <c r="J134" s="20"/>
    </row>
    <row r="135" spans="1:10">
      <c r="A135" t="s">
        <v>57</v>
      </c>
      <c r="B135" t="s">
        <v>103</v>
      </c>
      <c r="C135">
        <v>2480</v>
      </c>
      <c r="D135">
        <v>2</v>
      </c>
      <c r="E135">
        <v>2021</v>
      </c>
      <c r="F135" s="611">
        <v>1333.018</v>
      </c>
      <c r="G135" s="15">
        <v>22486.922999999999</v>
      </c>
      <c r="H135" t="s">
        <v>240</v>
      </c>
      <c r="I135" s="609">
        <f t="shared" si="6"/>
        <v>1333.018</v>
      </c>
      <c r="J135" s="20"/>
    </row>
    <row r="136" spans="1:10">
      <c r="A136" t="s">
        <v>57</v>
      </c>
      <c r="B136" t="s">
        <v>103</v>
      </c>
      <c r="C136">
        <v>2480</v>
      </c>
      <c r="D136">
        <v>3</v>
      </c>
      <c r="E136">
        <v>2021</v>
      </c>
      <c r="F136" s="611">
        <v>1798.5309999999999</v>
      </c>
      <c r="G136" s="15">
        <v>30333.165000000001</v>
      </c>
      <c r="H136" t="s">
        <v>240</v>
      </c>
      <c r="I136" s="609">
        <f t="shared" si="6"/>
        <v>1798.5309999999999</v>
      </c>
      <c r="J136" s="20"/>
    </row>
    <row r="137" spans="1:10">
      <c r="A137" t="s">
        <v>57</v>
      </c>
      <c r="B137" t="s">
        <v>103</v>
      </c>
      <c r="C137">
        <v>2480</v>
      </c>
      <c r="D137">
        <v>4</v>
      </c>
      <c r="E137">
        <v>2021</v>
      </c>
      <c r="F137" s="611">
        <v>4297.567</v>
      </c>
      <c r="G137" s="15">
        <v>72488.748999999996</v>
      </c>
      <c r="H137" t="s">
        <v>240</v>
      </c>
      <c r="I137" s="609">
        <f t="shared" si="6"/>
        <v>4297.567</v>
      </c>
    </row>
    <row r="138" spans="1:10">
      <c r="A138" t="s">
        <v>57</v>
      </c>
      <c r="B138" t="s">
        <v>271</v>
      </c>
      <c r="C138">
        <v>2490</v>
      </c>
      <c r="D138">
        <v>20</v>
      </c>
      <c r="E138">
        <v>2021</v>
      </c>
      <c r="F138" s="611">
        <v>472345.065</v>
      </c>
      <c r="G138" s="15">
        <v>7948068.9639999997</v>
      </c>
      <c r="H138" t="s">
        <v>247</v>
      </c>
      <c r="I138" s="609">
        <f t="shared" si="6"/>
        <v>472345.065</v>
      </c>
      <c r="J138" s="20"/>
    </row>
    <row r="139" spans="1:10">
      <c r="A139" t="s">
        <v>57</v>
      </c>
      <c r="B139" t="s">
        <v>271</v>
      </c>
      <c r="C139">
        <v>2490</v>
      </c>
      <c r="D139">
        <v>30</v>
      </c>
      <c r="E139">
        <v>2021</v>
      </c>
      <c r="F139" s="611">
        <v>107918.198</v>
      </c>
      <c r="G139" s="15">
        <v>1815954.7830000001</v>
      </c>
      <c r="H139" t="s">
        <v>240</v>
      </c>
      <c r="I139" s="609">
        <f t="shared" si="6"/>
        <v>107918.198</v>
      </c>
      <c r="J139" s="20"/>
    </row>
    <row r="140" spans="1:10">
      <c r="A140" t="s">
        <v>57</v>
      </c>
      <c r="B140" t="s">
        <v>106</v>
      </c>
      <c r="C140">
        <v>2493</v>
      </c>
      <c r="D140">
        <v>1</v>
      </c>
      <c r="E140">
        <v>2021</v>
      </c>
      <c r="F140" s="15">
        <v>779084.82499999995</v>
      </c>
      <c r="G140" s="15">
        <v>13109622.824999999</v>
      </c>
      <c r="H140" t="s">
        <v>235</v>
      </c>
      <c r="I140" s="609"/>
      <c r="J140" s="20" t="s">
        <v>1684</v>
      </c>
    </row>
    <row r="141" spans="1:10">
      <c r="A141" t="s">
        <v>57</v>
      </c>
      <c r="B141" t="s">
        <v>106</v>
      </c>
      <c r="C141">
        <v>2493</v>
      </c>
      <c r="D141">
        <v>2</v>
      </c>
      <c r="E141">
        <v>2021</v>
      </c>
      <c r="F141" s="15">
        <v>796009.5</v>
      </c>
      <c r="G141" s="15">
        <v>13394356.65</v>
      </c>
      <c r="H141" t="s">
        <v>235</v>
      </c>
      <c r="I141" s="609"/>
      <c r="J141" s="20" t="s">
        <v>1684</v>
      </c>
    </row>
    <row r="142" spans="1:10">
      <c r="A142" t="s">
        <v>57</v>
      </c>
      <c r="B142" t="s">
        <v>106</v>
      </c>
      <c r="C142">
        <v>2493</v>
      </c>
      <c r="D142">
        <v>60</v>
      </c>
      <c r="E142">
        <v>2021</v>
      </c>
      <c r="F142" s="15">
        <v>434319.82500000001</v>
      </c>
      <c r="G142" s="15">
        <v>7299111</v>
      </c>
      <c r="H142" t="s">
        <v>247</v>
      </c>
      <c r="I142" s="609"/>
      <c r="J142" s="20" t="s">
        <v>1684</v>
      </c>
    </row>
    <row r="143" spans="1:10">
      <c r="A143" t="s">
        <v>57</v>
      </c>
      <c r="B143" t="s">
        <v>106</v>
      </c>
      <c r="C143">
        <v>2493</v>
      </c>
      <c r="D143">
        <v>70</v>
      </c>
      <c r="E143">
        <v>2021</v>
      </c>
      <c r="F143" s="15">
        <v>208567.1</v>
      </c>
      <c r="G143" s="15">
        <v>3509402.4750000001</v>
      </c>
      <c r="H143" t="s">
        <v>247</v>
      </c>
      <c r="I143" s="609"/>
      <c r="J143" s="20" t="s">
        <v>1684</v>
      </c>
    </row>
    <row r="144" spans="1:10">
      <c r="A144" t="s">
        <v>57</v>
      </c>
      <c r="B144" t="s">
        <v>3635</v>
      </c>
      <c r="C144">
        <v>2494</v>
      </c>
      <c r="D144" t="s">
        <v>3636</v>
      </c>
      <c r="E144">
        <v>2021</v>
      </c>
      <c r="F144" s="611">
        <v>222.1</v>
      </c>
      <c r="G144" s="15">
        <v>2743.5</v>
      </c>
      <c r="H144" t="s">
        <v>232</v>
      </c>
      <c r="I144" s="609">
        <f>F144</f>
        <v>222.1</v>
      </c>
      <c r="J144" s="20"/>
    </row>
    <row r="145" spans="1:10">
      <c r="A145" t="s">
        <v>57</v>
      </c>
      <c r="B145" t="s">
        <v>3635</v>
      </c>
      <c r="C145">
        <v>2494</v>
      </c>
      <c r="D145" t="s">
        <v>3637</v>
      </c>
      <c r="E145">
        <v>2021</v>
      </c>
      <c r="F145" s="611">
        <v>207.3</v>
      </c>
      <c r="G145" s="15">
        <v>2556.6999999999998</v>
      </c>
      <c r="H145" t="s">
        <v>232</v>
      </c>
      <c r="I145" s="609">
        <f t="shared" ref="I145:I194" si="7">F145</f>
        <v>207.3</v>
      </c>
      <c r="J145" s="20"/>
    </row>
    <row r="146" spans="1:10">
      <c r="A146" t="s">
        <v>57</v>
      </c>
      <c r="B146" t="s">
        <v>3635</v>
      </c>
      <c r="C146">
        <v>2494</v>
      </c>
      <c r="D146" t="s">
        <v>3638</v>
      </c>
      <c r="E146">
        <v>2021</v>
      </c>
      <c r="F146" s="611">
        <v>144.80000000000001</v>
      </c>
      <c r="G146" s="15">
        <v>1787.7</v>
      </c>
      <c r="H146" t="s">
        <v>232</v>
      </c>
      <c r="I146" s="609">
        <f t="shared" si="7"/>
        <v>144.80000000000001</v>
      </c>
      <c r="J146" s="20"/>
    </row>
    <row r="147" spans="1:10">
      <c r="A147" t="s">
        <v>57</v>
      </c>
      <c r="B147" t="s">
        <v>3635</v>
      </c>
      <c r="C147">
        <v>2494</v>
      </c>
      <c r="D147" t="s">
        <v>3639</v>
      </c>
      <c r="E147">
        <v>2021</v>
      </c>
      <c r="F147" s="611">
        <v>169.3</v>
      </c>
      <c r="G147" s="15">
        <v>2090.9</v>
      </c>
      <c r="H147" t="s">
        <v>232</v>
      </c>
      <c r="I147" s="609">
        <f t="shared" si="7"/>
        <v>169.3</v>
      </c>
      <c r="J147" s="20"/>
    </row>
    <row r="148" spans="1:10">
      <c r="A148" t="s">
        <v>57</v>
      </c>
      <c r="B148" t="s">
        <v>3635</v>
      </c>
      <c r="C148">
        <v>2494</v>
      </c>
      <c r="D148" t="s">
        <v>3640</v>
      </c>
      <c r="E148">
        <v>2021</v>
      </c>
      <c r="F148" s="611">
        <v>234.1</v>
      </c>
      <c r="G148" s="15">
        <v>2888.6</v>
      </c>
      <c r="H148" t="s">
        <v>232</v>
      </c>
      <c r="I148" s="609">
        <f t="shared" si="7"/>
        <v>234.1</v>
      </c>
      <c r="J148" s="20"/>
    </row>
    <row r="149" spans="1:10">
      <c r="A149" t="s">
        <v>57</v>
      </c>
      <c r="B149" t="s">
        <v>3635</v>
      </c>
      <c r="C149">
        <v>2494</v>
      </c>
      <c r="D149" t="s">
        <v>3641</v>
      </c>
      <c r="E149">
        <v>2021</v>
      </c>
      <c r="F149" s="611">
        <v>172.6</v>
      </c>
      <c r="G149" s="15">
        <v>2129.5</v>
      </c>
      <c r="H149" t="s">
        <v>232</v>
      </c>
      <c r="I149" s="609">
        <f t="shared" si="7"/>
        <v>172.6</v>
      </c>
      <c r="J149" s="20"/>
    </row>
    <row r="150" spans="1:10">
      <c r="A150" t="s">
        <v>57</v>
      </c>
      <c r="B150" t="s">
        <v>3635</v>
      </c>
      <c r="C150">
        <v>2494</v>
      </c>
      <c r="D150" t="s">
        <v>3642</v>
      </c>
      <c r="E150">
        <v>2021</v>
      </c>
      <c r="F150" s="611">
        <v>176.1</v>
      </c>
      <c r="G150" s="15">
        <v>2173.9</v>
      </c>
      <c r="H150" t="s">
        <v>232</v>
      </c>
      <c r="I150" s="609">
        <f t="shared" si="7"/>
        <v>176.1</v>
      </c>
      <c r="J150" s="20"/>
    </row>
    <row r="151" spans="1:10">
      <c r="A151" t="s">
        <v>57</v>
      </c>
      <c r="B151" t="s">
        <v>3635</v>
      </c>
      <c r="C151">
        <v>2494</v>
      </c>
      <c r="D151" t="s">
        <v>3643</v>
      </c>
      <c r="E151">
        <v>2021</v>
      </c>
      <c r="F151" s="611"/>
      <c r="G151" s="15"/>
      <c r="H151" t="s">
        <v>232</v>
      </c>
      <c r="I151" s="609">
        <f t="shared" si="7"/>
        <v>0</v>
      </c>
      <c r="J151" s="20"/>
    </row>
    <row r="152" spans="1:10">
      <c r="A152" t="s">
        <v>57</v>
      </c>
      <c r="B152" t="s">
        <v>3635</v>
      </c>
      <c r="C152">
        <v>2494</v>
      </c>
      <c r="D152" t="s">
        <v>536</v>
      </c>
      <c r="E152">
        <v>2021</v>
      </c>
      <c r="F152" s="611">
        <v>1208.7</v>
      </c>
      <c r="G152" s="15">
        <v>20496.5</v>
      </c>
      <c r="H152" t="s">
        <v>232</v>
      </c>
      <c r="I152" s="609">
        <f t="shared" si="7"/>
        <v>1208.7</v>
      </c>
      <c r="J152" s="20"/>
    </row>
    <row r="153" spans="1:10">
      <c r="A153" t="s">
        <v>57</v>
      </c>
      <c r="B153" t="s">
        <v>3635</v>
      </c>
      <c r="C153">
        <v>2494</v>
      </c>
      <c r="D153" t="s">
        <v>537</v>
      </c>
      <c r="E153">
        <v>2021</v>
      </c>
      <c r="F153" s="611">
        <v>1334.9</v>
      </c>
      <c r="G153" s="15">
        <v>22644.400000000001</v>
      </c>
      <c r="H153" t="s">
        <v>232</v>
      </c>
      <c r="I153" s="609">
        <f t="shared" si="7"/>
        <v>1334.9</v>
      </c>
      <c r="J153" s="20"/>
    </row>
    <row r="154" spans="1:10">
      <c r="A154" t="s">
        <v>57</v>
      </c>
      <c r="B154" t="s">
        <v>3635</v>
      </c>
      <c r="C154">
        <v>2494</v>
      </c>
      <c r="D154" t="s">
        <v>538</v>
      </c>
      <c r="E154">
        <v>2021</v>
      </c>
      <c r="F154" s="611">
        <v>913</v>
      </c>
      <c r="G154" s="15">
        <v>15471.3</v>
      </c>
      <c r="H154" t="s">
        <v>232</v>
      </c>
      <c r="I154" s="609">
        <f t="shared" si="7"/>
        <v>913</v>
      </c>
      <c r="J154" s="20"/>
    </row>
    <row r="155" spans="1:10">
      <c r="A155" t="s">
        <v>57</v>
      </c>
      <c r="B155" t="s">
        <v>3635</v>
      </c>
      <c r="C155">
        <v>2494</v>
      </c>
      <c r="D155" t="s">
        <v>539</v>
      </c>
      <c r="E155">
        <v>2021</v>
      </c>
      <c r="F155" s="611">
        <v>1863.3</v>
      </c>
      <c r="G155" s="15">
        <v>31604.3</v>
      </c>
      <c r="H155" t="s">
        <v>232</v>
      </c>
      <c r="I155" s="609">
        <f t="shared" si="7"/>
        <v>1863.3</v>
      </c>
      <c r="J155" s="20"/>
    </row>
    <row r="156" spans="1:10">
      <c r="A156" t="s">
        <v>57</v>
      </c>
      <c r="B156" t="s">
        <v>3635</v>
      </c>
      <c r="C156">
        <v>2494</v>
      </c>
      <c r="D156" t="s">
        <v>3644</v>
      </c>
      <c r="E156">
        <v>2021</v>
      </c>
      <c r="F156" s="611">
        <v>953.5</v>
      </c>
      <c r="G156" s="15">
        <v>16168.4</v>
      </c>
      <c r="H156" t="s">
        <v>232</v>
      </c>
      <c r="I156" s="609">
        <f t="shared" si="7"/>
        <v>953.5</v>
      </c>
      <c r="J156" s="20"/>
    </row>
    <row r="157" spans="1:10">
      <c r="A157" t="s">
        <v>57</v>
      </c>
      <c r="B157" t="s">
        <v>3635</v>
      </c>
      <c r="C157">
        <v>2494</v>
      </c>
      <c r="D157" t="s">
        <v>3645</v>
      </c>
      <c r="E157">
        <v>2021</v>
      </c>
      <c r="F157" s="611">
        <v>843.9</v>
      </c>
      <c r="G157" s="15">
        <v>14303</v>
      </c>
      <c r="H157" t="s">
        <v>232</v>
      </c>
      <c r="I157" s="609">
        <f t="shared" si="7"/>
        <v>843.9</v>
      </c>
      <c r="J157" s="20"/>
    </row>
    <row r="158" spans="1:10">
      <c r="A158" t="s">
        <v>57</v>
      </c>
      <c r="B158" t="s">
        <v>3635</v>
      </c>
      <c r="C158">
        <v>2494</v>
      </c>
      <c r="D158" t="s">
        <v>3646</v>
      </c>
      <c r="E158">
        <v>2021</v>
      </c>
      <c r="F158" s="611">
        <v>1130</v>
      </c>
      <c r="G158" s="15">
        <v>19148.900000000001</v>
      </c>
      <c r="H158" t="s">
        <v>232</v>
      </c>
      <c r="I158" s="609">
        <f t="shared" si="7"/>
        <v>1130</v>
      </c>
      <c r="J158" s="20"/>
    </row>
    <row r="159" spans="1:10">
      <c r="A159" t="s">
        <v>57</v>
      </c>
      <c r="B159" t="s">
        <v>3635</v>
      </c>
      <c r="C159">
        <v>2494</v>
      </c>
      <c r="D159" t="s">
        <v>3647</v>
      </c>
      <c r="E159">
        <v>2021</v>
      </c>
      <c r="F159" s="611">
        <v>513.9</v>
      </c>
      <c r="G159" s="15">
        <v>8712.2000000000007</v>
      </c>
      <c r="H159" t="s">
        <v>232</v>
      </c>
      <c r="I159" s="609">
        <f t="shared" si="7"/>
        <v>513.9</v>
      </c>
      <c r="J159" s="20"/>
    </row>
    <row r="160" spans="1:10">
      <c r="A160" t="s">
        <v>57</v>
      </c>
      <c r="B160" t="s">
        <v>3635</v>
      </c>
      <c r="C160">
        <v>2494</v>
      </c>
      <c r="D160" t="s">
        <v>540</v>
      </c>
      <c r="E160">
        <v>2021</v>
      </c>
      <c r="F160" s="611">
        <v>621.5</v>
      </c>
      <c r="G160" s="15">
        <v>10527.8</v>
      </c>
      <c r="H160" t="s">
        <v>232</v>
      </c>
      <c r="I160" s="609">
        <f t="shared" si="7"/>
        <v>621.5</v>
      </c>
      <c r="J160" s="20"/>
    </row>
    <row r="161" spans="1:10">
      <c r="A161" t="s">
        <v>57</v>
      </c>
      <c r="B161" t="s">
        <v>3635</v>
      </c>
      <c r="C161">
        <v>2494</v>
      </c>
      <c r="D161" t="s">
        <v>541</v>
      </c>
      <c r="E161">
        <v>2021</v>
      </c>
      <c r="F161" s="611">
        <v>639.9</v>
      </c>
      <c r="G161" s="15">
        <v>10833.6</v>
      </c>
      <c r="H161" t="s">
        <v>232</v>
      </c>
      <c r="I161" s="609">
        <f t="shared" si="7"/>
        <v>639.9</v>
      </c>
      <c r="J161" s="20"/>
    </row>
    <row r="162" spans="1:10">
      <c r="A162" t="s">
        <v>57</v>
      </c>
      <c r="B162" t="s">
        <v>3635</v>
      </c>
      <c r="C162">
        <v>2494</v>
      </c>
      <c r="D162" t="s">
        <v>542</v>
      </c>
      <c r="E162">
        <v>2021</v>
      </c>
      <c r="F162" s="611">
        <v>1266.7</v>
      </c>
      <c r="G162" s="15">
        <v>21475.7</v>
      </c>
      <c r="H162" t="s">
        <v>232</v>
      </c>
      <c r="I162" s="609">
        <f t="shared" si="7"/>
        <v>1266.7</v>
      </c>
      <c r="J162" s="20"/>
    </row>
    <row r="163" spans="1:10">
      <c r="A163" t="s">
        <v>57</v>
      </c>
      <c r="B163" t="s">
        <v>3635</v>
      </c>
      <c r="C163">
        <v>2494</v>
      </c>
      <c r="D163" t="s">
        <v>543</v>
      </c>
      <c r="E163">
        <v>2021</v>
      </c>
      <c r="F163" s="611">
        <v>661.2</v>
      </c>
      <c r="G163" s="15">
        <v>11213.9</v>
      </c>
      <c r="H163" t="s">
        <v>232</v>
      </c>
      <c r="I163" s="609">
        <f t="shared" si="7"/>
        <v>661.2</v>
      </c>
      <c r="J163" s="20"/>
    </row>
    <row r="164" spans="1:10">
      <c r="A164" t="s">
        <v>57</v>
      </c>
      <c r="B164" t="s">
        <v>3635</v>
      </c>
      <c r="C164">
        <v>2494</v>
      </c>
      <c r="D164" t="s">
        <v>3648</v>
      </c>
      <c r="E164">
        <v>2021</v>
      </c>
      <c r="F164" s="611">
        <v>606.5</v>
      </c>
      <c r="G164" s="15">
        <v>10280.799999999999</v>
      </c>
      <c r="H164" t="s">
        <v>232</v>
      </c>
      <c r="I164" s="609">
        <f t="shared" si="7"/>
        <v>606.5</v>
      </c>
      <c r="J164" s="20"/>
    </row>
    <row r="165" spans="1:10">
      <c r="A165" t="s">
        <v>57</v>
      </c>
      <c r="B165" t="s">
        <v>3635</v>
      </c>
      <c r="C165">
        <v>2494</v>
      </c>
      <c r="D165" t="s">
        <v>3649</v>
      </c>
      <c r="E165">
        <v>2021</v>
      </c>
      <c r="F165" s="611">
        <v>545.9</v>
      </c>
      <c r="G165" s="15">
        <v>9252</v>
      </c>
      <c r="H165" t="s">
        <v>232</v>
      </c>
      <c r="I165" s="609">
        <f t="shared" si="7"/>
        <v>545.9</v>
      </c>
      <c r="J165" s="20"/>
    </row>
    <row r="166" spans="1:10">
      <c r="A166" t="s">
        <v>57</v>
      </c>
      <c r="B166" t="s">
        <v>3635</v>
      </c>
      <c r="C166">
        <v>2494</v>
      </c>
      <c r="D166" t="s">
        <v>3650</v>
      </c>
      <c r="E166">
        <v>2021</v>
      </c>
      <c r="F166" s="611">
        <v>576.9</v>
      </c>
      <c r="G166" s="15">
        <v>9785.1</v>
      </c>
      <c r="H166" t="s">
        <v>232</v>
      </c>
      <c r="I166" s="609">
        <f t="shared" si="7"/>
        <v>576.9</v>
      </c>
      <c r="J166" s="20"/>
    </row>
    <row r="167" spans="1:10">
      <c r="A167" t="s">
        <v>57</v>
      </c>
      <c r="B167" t="s">
        <v>3635</v>
      </c>
      <c r="C167">
        <v>2494</v>
      </c>
      <c r="D167" t="s">
        <v>3651</v>
      </c>
      <c r="E167">
        <v>2021</v>
      </c>
      <c r="F167" s="611">
        <v>631.5</v>
      </c>
      <c r="G167" s="15">
        <v>10704.1</v>
      </c>
      <c r="H167" t="s">
        <v>232</v>
      </c>
      <c r="I167" s="609">
        <f t="shared" si="7"/>
        <v>631.5</v>
      </c>
      <c r="J167" s="20"/>
    </row>
    <row r="168" spans="1:10">
      <c r="A168" t="s">
        <v>57</v>
      </c>
      <c r="B168" t="s">
        <v>3635</v>
      </c>
      <c r="C168">
        <v>2494</v>
      </c>
      <c r="D168" t="s">
        <v>3652</v>
      </c>
      <c r="E168">
        <v>2021</v>
      </c>
      <c r="F168" s="611">
        <v>217</v>
      </c>
      <c r="G168" s="15">
        <v>2680.6</v>
      </c>
      <c r="H168" t="s">
        <v>232</v>
      </c>
      <c r="I168" s="609">
        <f t="shared" si="7"/>
        <v>217</v>
      </c>
      <c r="J168" s="20"/>
    </row>
    <row r="169" spans="1:10">
      <c r="A169" t="s">
        <v>57</v>
      </c>
      <c r="B169" t="s">
        <v>3635</v>
      </c>
      <c r="C169">
        <v>2494</v>
      </c>
      <c r="D169" t="s">
        <v>3653</v>
      </c>
      <c r="E169">
        <v>2021</v>
      </c>
      <c r="F169" s="611">
        <v>207.1</v>
      </c>
      <c r="G169" s="15">
        <v>2556.9</v>
      </c>
      <c r="H169" t="s">
        <v>232</v>
      </c>
      <c r="I169" s="609">
        <f t="shared" si="7"/>
        <v>207.1</v>
      </c>
      <c r="J169" s="20"/>
    </row>
    <row r="170" spans="1:10">
      <c r="A170" t="s">
        <v>57</v>
      </c>
      <c r="B170" t="s">
        <v>3635</v>
      </c>
      <c r="C170">
        <v>2494</v>
      </c>
      <c r="D170" t="s">
        <v>3654</v>
      </c>
      <c r="E170">
        <v>2021</v>
      </c>
      <c r="F170" s="611">
        <v>204.4</v>
      </c>
      <c r="G170" s="15">
        <v>2520.9</v>
      </c>
      <c r="H170" t="s">
        <v>232</v>
      </c>
      <c r="I170" s="609">
        <f t="shared" si="7"/>
        <v>204.4</v>
      </c>
      <c r="J170" s="20"/>
    </row>
    <row r="171" spans="1:10">
      <c r="A171" t="s">
        <v>57</v>
      </c>
      <c r="B171" t="s">
        <v>3635</v>
      </c>
      <c r="C171">
        <v>2494</v>
      </c>
      <c r="D171" t="s">
        <v>3655</v>
      </c>
      <c r="E171">
        <v>2021</v>
      </c>
      <c r="F171" s="611">
        <v>196.5</v>
      </c>
      <c r="G171" s="15">
        <v>2427.1999999999998</v>
      </c>
      <c r="H171" t="s">
        <v>232</v>
      </c>
      <c r="I171" s="609">
        <f t="shared" si="7"/>
        <v>196.5</v>
      </c>
      <c r="J171" s="20"/>
    </row>
    <row r="172" spans="1:10">
      <c r="A172" t="s">
        <v>57</v>
      </c>
      <c r="B172" t="s">
        <v>3635</v>
      </c>
      <c r="C172">
        <v>2494</v>
      </c>
      <c r="D172" t="s">
        <v>3656</v>
      </c>
      <c r="E172">
        <v>2021</v>
      </c>
      <c r="F172" s="611">
        <v>154.69999999999999</v>
      </c>
      <c r="G172" s="15">
        <v>1911.9</v>
      </c>
      <c r="H172" t="s">
        <v>232</v>
      </c>
      <c r="I172" s="609">
        <f t="shared" si="7"/>
        <v>154.69999999999999</v>
      </c>
      <c r="J172" s="20"/>
    </row>
    <row r="173" spans="1:10">
      <c r="A173" t="s">
        <v>57</v>
      </c>
      <c r="B173" t="s">
        <v>3635</v>
      </c>
      <c r="C173">
        <v>2494</v>
      </c>
      <c r="D173" t="s">
        <v>3657</v>
      </c>
      <c r="E173">
        <v>2021</v>
      </c>
      <c r="F173" s="611">
        <v>200.9</v>
      </c>
      <c r="G173" s="15">
        <v>2480.5</v>
      </c>
      <c r="H173" t="s">
        <v>232</v>
      </c>
      <c r="I173" s="609">
        <f t="shared" si="7"/>
        <v>200.9</v>
      </c>
      <c r="J173" s="20"/>
    </row>
    <row r="174" spans="1:10">
      <c r="A174" t="s">
        <v>57</v>
      </c>
      <c r="B174" t="s">
        <v>3635</v>
      </c>
      <c r="C174">
        <v>2494</v>
      </c>
      <c r="D174" t="s">
        <v>3658</v>
      </c>
      <c r="E174">
        <v>2021</v>
      </c>
      <c r="F174" s="611">
        <v>293.3</v>
      </c>
      <c r="G174" s="15">
        <v>3622</v>
      </c>
      <c r="H174" t="s">
        <v>232</v>
      </c>
      <c r="I174" s="609">
        <f t="shared" si="7"/>
        <v>293.3</v>
      </c>
      <c r="J174" s="20"/>
    </row>
    <row r="175" spans="1:10">
      <c r="A175" t="s">
        <v>57</v>
      </c>
      <c r="B175" t="s">
        <v>3635</v>
      </c>
      <c r="C175">
        <v>2494</v>
      </c>
      <c r="D175" t="s">
        <v>3659</v>
      </c>
      <c r="E175">
        <v>2021</v>
      </c>
      <c r="F175" s="611">
        <v>181.1</v>
      </c>
      <c r="G175" s="15">
        <v>2237.5</v>
      </c>
      <c r="H175" t="s">
        <v>232</v>
      </c>
      <c r="I175" s="609">
        <f t="shared" si="7"/>
        <v>181.1</v>
      </c>
      <c r="J175" s="20"/>
    </row>
    <row r="176" spans="1:10">
      <c r="A176" t="s">
        <v>57</v>
      </c>
      <c r="B176" t="s">
        <v>625</v>
      </c>
      <c r="C176">
        <v>2496</v>
      </c>
      <c r="D176" t="s">
        <v>3660</v>
      </c>
      <c r="E176">
        <v>2021</v>
      </c>
      <c r="F176" s="611">
        <v>540.79999999999995</v>
      </c>
      <c r="G176" s="15">
        <v>6683.8</v>
      </c>
      <c r="H176" t="s">
        <v>232</v>
      </c>
      <c r="I176" s="609">
        <f t="shared" si="7"/>
        <v>540.79999999999995</v>
      </c>
      <c r="J176" s="20"/>
    </row>
    <row r="177" spans="1:10">
      <c r="A177" t="s">
        <v>57</v>
      </c>
      <c r="B177" t="s">
        <v>625</v>
      </c>
      <c r="C177">
        <v>2496</v>
      </c>
      <c r="D177" t="s">
        <v>3661</v>
      </c>
      <c r="E177">
        <v>2021</v>
      </c>
      <c r="F177" s="611"/>
      <c r="G177" s="15"/>
      <c r="H177" t="s">
        <v>232</v>
      </c>
      <c r="I177" s="609">
        <f t="shared" si="7"/>
        <v>0</v>
      </c>
      <c r="J177" s="20"/>
    </row>
    <row r="178" spans="1:10">
      <c r="A178" t="s">
        <v>57</v>
      </c>
      <c r="B178" t="s">
        <v>625</v>
      </c>
      <c r="C178">
        <v>2496</v>
      </c>
      <c r="D178" t="s">
        <v>3662</v>
      </c>
      <c r="E178">
        <v>2021</v>
      </c>
      <c r="F178" s="611">
        <v>201</v>
      </c>
      <c r="G178" s="15">
        <v>2484.1999999999998</v>
      </c>
      <c r="H178" t="s">
        <v>232</v>
      </c>
      <c r="I178" s="609">
        <f t="shared" si="7"/>
        <v>201</v>
      </c>
      <c r="J178" s="20"/>
    </row>
    <row r="179" spans="1:10">
      <c r="A179" t="s">
        <v>57</v>
      </c>
      <c r="B179" t="s">
        <v>3663</v>
      </c>
      <c r="C179">
        <v>2499</v>
      </c>
      <c r="D179" t="s">
        <v>3636</v>
      </c>
      <c r="E179">
        <v>2021</v>
      </c>
      <c r="F179" s="611">
        <v>2503.1</v>
      </c>
      <c r="G179" s="15">
        <v>42468</v>
      </c>
      <c r="H179" t="s">
        <v>232</v>
      </c>
      <c r="I179" s="609">
        <f t="shared" si="7"/>
        <v>2503.1</v>
      </c>
      <c r="J179" s="20"/>
    </row>
    <row r="180" spans="1:10">
      <c r="A180" t="s">
        <v>57</v>
      </c>
      <c r="B180" t="s">
        <v>3663</v>
      </c>
      <c r="C180">
        <v>2499</v>
      </c>
      <c r="D180" t="s">
        <v>3637</v>
      </c>
      <c r="E180">
        <v>2021</v>
      </c>
      <c r="F180" s="611">
        <v>2888</v>
      </c>
      <c r="G180" s="15">
        <v>49015.7</v>
      </c>
      <c r="H180" t="s">
        <v>232</v>
      </c>
      <c r="I180" s="609">
        <f t="shared" si="7"/>
        <v>2888</v>
      </c>
      <c r="J180" s="20"/>
    </row>
    <row r="181" spans="1:10">
      <c r="A181" t="s">
        <v>57</v>
      </c>
      <c r="B181" t="s">
        <v>3663</v>
      </c>
      <c r="C181">
        <v>2499</v>
      </c>
      <c r="D181" t="s">
        <v>3638</v>
      </c>
      <c r="E181">
        <v>2021</v>
      </c>
      <c r="F181" s="611">
        <v>2063.8000000000002</v>
      </c>
      <c r="G181" s="15">
        <v>35031.9</v>
      </c>
      <c r="H181" t="s">
        <v>232</v>
      </c>
      <c r="I181" s="609">
        <f t="shared" si="7"/>
        <v>2063.8000000000002</v>
      </c>
      <c r="J181" s="20"/>
    </row>
    <row r="182" spans="1:10">
      <c r="A182" t="s">
        <v>57</v>
      </c>
      <c r="B182" t="s">
        <v>3663</v>
      </c>
      <c r="C182">
        <v>2499</v>
      </c>
      <c r="D182" t="s">
        <v>3639</v>
      </c>
      <c r="E182">
        <v>2021</v>
      </c>
      <c r="F182" s="611">
        <v>2086.6</v>
      </c>
      <c r="G182" s="15">
        <v>35407.300000000003</v>
      </c>
      <c r="H182" t="s">
        <v>232</v>
      </c>
      <c r="I182" s="609">
        <f t="shared" si="7"/>
        <v>2086.6</v>
      </c>
      <c r="J182" s="20"/>
    </row>
    <row r="183" spans="1:10">
      <c r="A183" t="s">
        <v>57</v>
      </c>
      <c r="B183" t="s">
        <v>3663</v>
      </c>
      <c r="C183">
        <v>2499</v>
      </c>
      <c r="D183" t="s">
        <v>3640</v>
      </c>
      <c r="E183">
        <v>2021</v>
      </c>
      <c r="F183" s="611">
        <v>3262.9</v>
      </c>
      <c r="G183" s="15">
        <v>55297.5</v>
      </c>
      <c r="H183" t="s">
        <v>232</v>
      </c>
      <c r="I183" s="609">
        <f t="shared" si="7"/>
        <v>3262.9</v>
      </c>
      <c r="J183" s="20"/>
    </row>
    <row r="184" spans="1:10">
      <c r="A184" t="s">
        <v>57</v>
      </c>
      <c r="B184" t="s">
        <v>3663</v>
      </c>
      <c r="C184">
        <v>2499</v>
      </c>
      <c r="D184" t="s">
        <v>3641</v>
      </c>
      <c r="E184">
        <v>2021</v>
      </c>
      <c r="F184" s="611">
        <v>1385.2</v>
      </c>
      <c r="G184" s="15">
        <v>23515</v>
      </c>
      <c r="H184" t="s">
        <v>232</v>
      </c>
      <c r="I184" s="609">
        <f t="shared" si="7"/>
        <v>1385.2</v>
      </c>
      <c r="J184" s="20"/>
    </row>
    <row r="185" spans="1:10">
      <c r="A185" t="s">
        <v>57</v>
      </c>
      <c r="B185" t="s">
        <v>3663</v>
      </c>
      <c r="C185">
        <v>2499</v>
      </c>
      <c r="D185" t="s">
        <v>3642</v>
      </c>
      <c r="E185">
        <v>2021</v>
      </c>
      <c r="F185" s="611">
        <v>1807.4</v>
      </c>
      <c r="G185" s="15">
        <v>30671.9</v>
      </c>
      <c r="H185" t="s">
        <v>232</v>
      </c>
      <c r="I185" s="609">
        <f t="shared" si="7"/>
        <v>1807.4</v>
      </c>
      <c r="J185" s="20"/>
    </row>
    <row r="186" spans="1:10">
      <c r="A186" t="s">
        <v>57</v>
      </c>
      <c r="B186" t="s">
        <v>3663</v>
      </c>
      <c r="C186">
        <v>2499</v>
      </c>
      <c r="D186" t="s">
        <v>3643</v>
      </c>
      <c r="E186">
        <v>2021</v>
      </c>
      <c r="F186" s="611">
        <v>1554.3</v>
      </c>
      <c r="G186" s="15">
        <v>26391.200000000001</v>
      </c>
      <c r="H186" t="s">
        <v>232</v>
      </c>
      <c r="I186" s="609">
        <f t="shared" si="7"/>
        <v>1554.3</v>
      </c>
      <c r="J186" s="20"/>
    </row>
    <row r="187" spans="1:10">
      <c r="A187" t="s">
        <v>57</v>
      </c>
      <c r="B187" t="s">
        <v>3663</v>
      </c>
      <c r="C187">
        <v>2499</v>
      </c>
      <c r="D187" t="s">
        <v>536</v>
      </c>
      <c r="E187">
        <v>2021</v>
      </c>
      <c r="F187" s="611">
        <v>3773.9</v>
      </c>
      <c r="G187" s="15">
        <v>64013.7</v>
      </c>
      <c r="H187" t="s">
        <v>232</v>
      </c>
      <c r="I187" s="609">
        <f t="shared" si="7"/>
        <v>3773.9</v>
      </c>
      <c r="J187" s="20"/>
    </row>
    <row r="188" spans="1:10">
      <c r="A188" t="s">
        <v>57</v>
      </c>
      <c r="B188" t="s">
        <v>3663</v>
      </c>
      <c r="C188">
        <v>2499</v>
      </c>
      <c r="D188" t="s">
        <v>537</v>
      </c>
      <c r="E188">
        <v>2021</v>
      </c>
      <c r="F188" s="611">
        <v>1726.6</v>
      </c>
      <c r="G188" s="15">
        <v>29304.3</v>
      </c>
      <c r="H188" t="s">
        <v>232</v>
      </c>
      <c r="I188" s="609">
        <f t="shared" si="7"/>
        <v>1726.6</v>
      </c>
      <c r="J188" s="20"/>
    </row>
    <row r="189" spans="1:10">
      <c r="A189" t="s">
        <v>57</v>
      </c>
      <c r="B189" t="s">
        <v>3663</v>
      </c>
      <c r="C189">
        <v>2499</v>
      </c>
      <c r="D189" t="s">
        <v>538</v>
      </c>
      <c r="E189">
        <v>2021</v>
      </c>
      <c r="F189" s="611">
        <v>2062.8000000000002</v>
      </c>
      <c r="G189" s="15">
        <v>35022.5</v>
      </c>
      <c r="H189" t="s">
        <v>232</v>
      </c>
      <c r="I189" s="609">
        <f t="shared" si="7"/>
        <v>2062.8000000000002</v>
      </c>
      <c r="J189" s="20"/>
    </row>
    <row r="190" spans="1:10">
      <c r="A190" t="s">
        <v>57</v>
      </c>
      <c r="B190" t="s">
        <v>3663</v>
      </c>
      <c r="C190">
        <v>2499</v>
      </c>
      <c r="D190" t="s">
        <v>539</v>
      </c>
      <c r="E190">
        <v>2021</v>
      </c>
      <c r="F190" s="611">
        <v>3361.9</v>
      </c>
      <c r="G190" s="15">
        <v>56237.3</v>
      </c>
      <c r="H190" t="s">
        <v>232</v>
      </c>
      <c r="I190" s="609">
        <f t="shared" si="7"/>
        <v>3361.9</v>
      </c>
      <c r="J190" s="20"/>
    </row>
    <row r="191" spans="1:10">
      <c r="A191" t="s">
        <v>57</v>
      </c>
      <c r="B191" t="s">
        <v>3663</v>
      </c>
      <c r="C191">
        <v>2499</v>
      </c>
      <c r="D191" t="s">
        <v>3644</v>
      </c>
      <c r="E191">
        <v>2021</v>
      </c>
      <c r="F191" s="611">
        <v>4025.1</v>
      </c>
      <c r="G191" s="15">
        <v>68205.8</v>
      </c>
      <c r="H191" t="s">
        <v>232</v>
      </c>
      <c r="I191" s="609">
        <f t="shared" si="7"/>
        <v>4025.1</v>
      </c>
      <c r="J191" s="20"/>
    </row>
    <row r="192" spans="1:10">
      <c r="A192" t="s">
        <v>57</v>
      </c>
      <c r="B192" t="s">
        <v>3663</v>
      </c>
      <c r="C192">
        <v>2499</v>
      </c>
      <c r="D192" t="s">
        <v>3645</v>
      </c>
      <c r="E192">
        <v>2021</v>
      </c>
      <c r="F192" s="611">
        <v>1421.7</v>
      </c>
      <c r="G192" s="15">
        <v>24095.3</v>
      </c>
      <c r="H192" t="s">
        <v>232</v>
      </c>
      <c r="I192" s="609">
        <f t="shared" si="7"/>
        <v>1421.7</v>
      </c>
      <c r="J192" s="20"/>
    </row>
    <row r="193" spans="1:10">
      <c r="A193" t="s">
        <v>57</v>
      </c>
      <c r="B193" t="s">
        <v>3663</v>
      </c>
      <c r="C193">
        <v>2499</v>
      </c>
      <c r="D193" t="s">
        <v>3646</v>
      </c>
      <c r="E193">
        <v>2021</v>
      </c>
      <c r="F193" s="611">
        <v>3117.8</v>
      </c>
      <c r="G193" s="15">
        <v>52898.1</v>
      </c>
      <c r="H193" t="s">
        <v>232</v>
      </c>
      <c r="I193" s="609">
        <f t="shared" si="7"/>
        <v>3117.8</v>
      </c>
      <c r="J193" s="20"/>
    </row>
    <row r="194" spans="1:10">
      <c r="A194" t="s">
        <v>57</v>
      </c>
      <c r="B194" t="s">
        <v>3663</v>
      </c>
      <c r="C194">
        <v>2499</v>
      </c>
      <c r="D194" t="s">
        <v>3647</v>
      </c>
      <c r="E194">
        <v>2021</v>
      </c>
      <c r="F194" s="611">
        <v>1747.2</v>
      </c>
      <c r="G194" s="15">
        <v>29611.3</v>
      </c>
      <c r="H194" t="s">
        <v>232</v>
      </c>
      <c r="I194" s="609">
        <f t="shared" si="7"/>
        <v>1747.2</v>
      </c>
      <c r="J194" s="20"/>
    </row>
    <row r="195" spans="1:10">
      <c r="A195" t="s">
        <v>57</v>
      </c>
      <c r="B195" t="s">
        <v>316</v>
      </c>
      <c r="C195">
        <v>2500</v>
      </c>
      <c r="D195">
        <v>10</v>
      </c>
      <c r="E195">
        <v>2021</v>
      </c>
      <c r="F195" s="611">
        <v>101192.825</v>
      </c>
      <c r="G195" s="15">
        <v>1702537.236</v>
      </c>
      <c r="H195" t="s">
        <v>240</v>
      </c>
      <c r="I195" s="609">
        <f t="shared" ref="I195:I270" si="8">F195</f>
        <v>101192.825</v>
      </c>
      <c r="J195" s="20"/>
    </row>
    <row r="196" spans="1:10">
      <c r="A196" t="s">
        <v>57</v>
      </c>
      <c r="B196" t="s">
        <v>316</v>
      </c>
      <c r="C196">
        <v>2500</v>
      </c>
      <c r="D196">
        <v>20</v>
      </c>
      <c r="E196">
        <v>2021</v>
      </c>
      <c r="F196" s="611">
        <v>167314.47099999999</v>
      </c>
      <c r="G196" s="15">
        <v>2794375.1409999998</v>
      </c>
      <c r="H196" t="s">
        <v>240</v>
      </c>
      <c r="I196" s="609">
        <f t="shared" si="8"/>
        <v>167314.47099999999</v>
      </c>
      <c r="J196" s="20"/>
    </row>
    <row r="197" spans="1:10">
      <c r="A197" t="s">
        <v>57</v>
      </c>
      <c r="B197" t="s">
        <v>316</v>
      </c>
      <c r="C197">
        <v>2500</v>
      </c>
      <c r="D197">
        <v>30</v>
      </c>
      <c r="E197">
        <v>2021</v>
      </c>
      <c r="F197" s="611">
        <v>65233.262000000002</v>
      </c>
      <c r="G197" s="15">
        <v>1096942.0049999999</v>
      </c>
      <c r="H197" t="s">
        <v>240</v>
      </c>
      <c r="I197" s="609">
        <f t="shared" si="8"/>
        <v>65233.262000000002</v>
      </c>
      <c r="J197" s="20"/>
    </row>
    <row r="198" spans="1:10">
      <c r="A198" t="s">
        <v>57</v>
      </c>
      <c r="B198" t="s">
        <v>316</v>
      </c>
      <c r="C198">
        <v>2500</v>
      </c>
      <c r="D198" t="s">
        <v>3664</v>
      </c>
      <c r="E198">
        <v>2021</v>
      </c>
      <c r="F198" s="686">
        <v>31</v>
      </c>
      <c r="G198">
        <v>525</v>
      </c>
      <c r="H198" t="s">
        <v>232</v>
      </c>
      <c r="I198" s="609">
        <f t="shared" si="8"/>
        <v>31</v>
      </c>
      <c r="J198" s="20"/>
    </row>
    <row r="199" spans="1:10">
      <c r="A199" t="s">
        <v>57</v>
      </c>
      <c r="B199" t="s">
        <v>316</v>
      </c>
      <c r="C199">
        <v>2500</v>
      </c>
      <c r="D199" t="s">
        <v>3665</v>
      </c>
      <c r="E199">
        <v>2021</v>
      </c>
      <c r="F199" s="686">
        <v>885</v>
      </c>
      <c r="G199">
        <v>14793.2</v>
      </c>
      <c r="H199" t="s">
        <v>232</v>
      </c>
      <c r="I199" s="609">
        <f t="shared" si="8"/>
        <v>885</v>
      </c>
      <c r="J199" s="20"/>
    </row>
    <row r="200" spans="1:10">
      <c r="A200" t="s">
        <v>57</v>
      </c>
      <c r="B200" t="s">
        <v>316</v>
      </c>
      <c r="C200">
        <v>2500</v>
      </c>
      <c r="D200" t="s">
        <v>3666</v>
      </c>
      <c r="E200">
        <v>2021</v>
      </c>
      <c r="F200" s="686">
        <v>475.4</v>
      </c>
      <c r="G200">
        <v>7804.8</v>
      </c>
      <c r="H200" t="s">
        <v>232</v>
      </c>
      <c r="I200" s="609">
        <f t="shared" si="8"/>
        <v>475.4</v>
      </c>
      <c r="J200" s="20"/>
    </row>
    <row r="201" spans="1:10">
      <c r="A201" t="s">
        <v>57</v>
      </c>
      <c r="B201" t="s">
        <v>316</v>
      </c>
      <c r="C201">
        <v>2500</v>
      </c>
      <c r="D201" t="s">
        <v>536</v>
      </c>
      <c r="E201">
        <v>2021</v>
      </c>
      <c r="F201" s="611"/>
      <c r="G201" s="15"/>
      <c r="H201" t="s">
        <v>232</v>
      </c>
      <c r="I201" s="609">
        <f t="shared" si="8"/>
        <v>0</v>
      </c>
      <c r="J201" s="20"/>
    </row>
    <row r="202" spans="1:10">
      <c r="A202" t="s">
        <v>57</v>
      </c>
      <c r="B202" t="s">
        <v>316</v>
      </c>
      <c r="C202">
        <v>2500</v>
      </c>
      <c r="D202" t="s">
        <v>537</v>
      </c>
      <c r="E202">
        <v>2021</v>
      </c>
      <c r="F202" s="611"/>
      <c r="G202" s="15"/>
      <c r="H202" t="s">
        <v>232</v>
      </c>
      <c r="I202" s="609">
        <f t="shared" si="8"/>
        <v>0</v>
      </c>
      <c r="J202" s="20"/>
    </row>
    <row r="203" spans="1:10">
      <c r="A203" t="s">
        <v>57</v>
      </c>
      <c r="B203" t="s">
        <v>316</v>
      </c>
      <c r="C203">
        <v>2500</v>
      </c>
      <c r="D203" t="s">
        <v>538</v>
      </c>
      <c r="E203">
        <v>2021</v>
      </c>
      <c r="F203" s="611"/>
      <c r="G203" s="15"/>
      <c r="H203" t="s">
        <v>232</v>
      </c>
      <c r="I203" s="609">
        <f t="shared" si="8"/>
        <v>0</v>
      </c>
      <c r="J203" s="20"/>
    </row>
    <row r="204" spans="1:10">
      <c r="A204" t="s">
        <v>57</v>
      </c>
      <c r="B204" t="s">
        <v>316</v>
      </c>
      <c r="C204">
        <v>2500</v>
      </c>
      <c r="D204" t="s">
        <v>539</v>
      </c>
      <c r="E204">
        <v>2021</v>
      </c>
      <c r="F204" s="611"/>
      <c r="G204" s="15"/>
      <c r="H204" t="s">
        <v>232</v>
      </c>
      <c r="I204" s="609">
        <f t="shared" si="8"/>
        <v>0</v>
      </c>
      <c r="J204" s="20"/>
    </row>
    <row r="205" spans="1:10">
      <c r="A205" t="s">
        <v>57</v>
      </c>
      <c r="B205" t="s">
        <v>316</v>
      </c>
      <c r="C205">
        <v>2500</v>
      </c>
      <c r="D205" t="s">
        <v>540</v>
      </c>
      <c r="E205">
        <v>2021</v>
      </c>
      <c r="F205" s="611"/>
      <c r="G205" s="15"/>
      <c r="H205" t="s">
        <v>232</v>
      </c>
      <c r="I205" s="609">
        <f t="shared" si="8"/>
        <v>0</v>
      </c>
      <c r="J205" s="20"/>
    </row>
    <row r="206" spans="1:10">
      <c r="A206" t="s">
        <v>57</v>
      </c>
      <c r="B206" t="s">
        <v>316</v>
      </c>
      <c r="C206">
        <v>2500</v>
      </c>
      <c r="D206" t="s">
        <v>541</v>
      </c>
      <c r="E206">
        <v>2021</v>
      </c>
      <c r="F206" s="611"/>
      <c r="G206" s="15"/>
      <c r="H206" t="s">
        <v>232</v>
      </c>
      <c r="I206" s="609">
        <f t="shared" si="8"/>
        <v>0</v>
      </c>
      <c r="J206" s="20"/>
    </row>
    <row r="207" spans="1:10">
      <c r="A207" t="s">
        <v>57</v>
      </c>
      <c r="B207" t="s">
        <v>316</v>
      </c>
      <c r="C207">
        <v>2500</v>
      </c>
      <c r="D207" t="s">
        <v>543</v>
      </c>
      <c r="E207">
        <v>2021</v>
      </c>
      <c r="F207" s="611"/>
      <c r="G207" s="15"/>
      <c r="H207" t="s">
        <v>232</v>
      </c>
      <c r="I207" s="609">
        <f t="shared" si="8"/>
        <v>0</v>
      </c>
      <c r="J207" s="20"/>
    </row>
    <row r="208" spans="1:10">
      <c r="A208" t="s">
        <v>57</v>
      </c>
      <c r="B208" t="s">
        <v>316</v>
      </c>
      <c r="C208">
        <v>2500</v>
      </c>
      <c r="D208" t="s">
        <v>317</v>
      </c>
      <c r="E208">
        <v>2021</v>
      </c>
      <c r="F208" s="611">
        <v>693728.97600000002</v>
      </c>
      <c r="G208" s="15">
        <v>11671965.588</v>
      </c>
      <c r="H208" t="s">
        <v>235</v>
      </c>
      <c r="I208" s="609">
        <f t="shared" si="8"/>
        <v>693728.97600000002</v>
      </c>
      <c r="J208" s="20"/>
    </row>
    <row r="209" spans="1:10">
      <c r="A209" t="s">
        <v>57</v>
      </c>
      <c r="B209" t="s">
        <v>112</v>
      </c>
      <c r="C209">
        <v>2504</v>
      </c>
      <c r="D209" t="s">
        <v>3664</v>
      </c>
      <c r="E209">
        <v>2021</v>
      </c>
      <c r="F209" s="686">
        <v>508.8</v>
      </c>
      <c r="G209">
        <v>6268.6</v>
      </c>
      <c r="H209" t="s">
        <v>232</v>
      </c>
      <c r="I209" s="609">
        <f t="shared" si="8"/>
        <v>508.8</v>
      </c>
      <c r="J209" s="20"/>
    </row>
    <row r="210" spans="1:10">
      <c r="A210" t="s">
        <v>57</v>
      </c>
      <c r="B210" t="s">
        <v>112</v>
      </c>
      <c r="C210">
        <v>2504</v>
      </c>
      <c r="D210" t="s">
        <v>3667</v>
      </c>
      <c r="E210">
        <v>2021</v>
      </c>
      <c r="F210" s="686">
        <v>410.8</v>
      </c>
      <c r="G210">
        <v>5062.2</v>
      </c>
      <c r="H210" t="s">
        <v>232</v>
      </c>
      <c r="I210" s="609">
        <f t="shared" si="8"/>
        <v>410.8</v>
      </c>
      <c r="J210" s="20"/>
    </row>
    <row r="211" spans="1:10">
      <c r="A211" t="s">
        <v>57</v>
      </c>
      <c r="B211" t="s">
        <v>113</v>
      </c>
      <c r="C211">
        <v>2511</v>
      </c>
      <c r="D211">
        <v>10</v>
      </c>
      <c r="E211">
        <v>2020</v>
      </c>
      <c r="F211" s="611">
        <v>460588.2</v>
      </c>
      <c r="G211" s="15">
        <v>7739178.4000000004</v>
      </c>
      <c r="H211" t="s">
        <v>240</v>
      </c>
      <c r="I211" s="609">
        <f t="shared" si="8"/>
        <v>460588.2</v>
      </c>
    </row>
    <row r="212" spans="1:10">
      <c r="A212" t="s">
        <v>57</v>
      </c>
      <c r="B212" t="s">
        <v>113</v>
      </c>
      <c r="C212">
        <v>2511</v>
      </c>
      <c r="D212">
        <v>20</v>
      </c>
      <c r="E212">
        <v>2020</v>
      </c>
      <c r="F212" s="611">
        <v>384608.33899999998</v>
      </c>
      <c r="G212" s="15">
        <v>6445721.0389999999</v>
      </c>
      <c r="H212" t="s">
        <v>240</v>
      </c>
      <c r="I212" s="609">
        <f t="shared" si="8"/>
        <v>384608.33899999998</v>
      </c>
    </row>
    <row r="213" spans="1:10">
      <c r="A213" t="s">
        <v>57</v>
      </c>
      <c r="B213" t="s">
        <v>113</v>
      </c>
      <c r="C213">
        <v>2511</v>
      </c>
      <c r="D213" t="s">
        <v>525</v>
      </c>
      <c r="E213">
        <v>2021</v>
      </c>
      <c r="F213" s="611">
        <v>4495.8999999999996</v>
      </c>
      <c r="G213" s="15">
        <v>75422.100000000006</v>
      </c>
      <c r="H213" t="s">
        <v>232</v>
      </c>
      <c r="I213" s="609">
        <f t="shared" si="8"/>
        <v>4495.8999999999996</v>
      </c>
    </row>
    <row r="214" spans="1:10">
      <c r="A214" t="s">
        <v>57</v>
      </c>
      <c r="B214" t="s">
        <v>113</v>
      </c>
      <c r="C214">
        <v>2511</v>
      </c>
      <c r="D214" t="s">
        <v>526</v>
      </c>
      <c r="E214">
        <v>2021</v>
      </c>
      <c r="F214" s="611">
        <v>6505.8</v>
      </c>
      <c r="G214" s="15">
        <v>108582.5</v>
      </c>
      <c r="H214" t="s">
        <v>232</v>
      </c>
      <c r="I214" s="609">
        <f t="shared" si="8"/>
        <v>6505.8</v>
      </c>
    </row>
    <row r="215" spans="1:10">
      <c r="A215" t="s">
        <v>57</v>
      </c>
      <c r="B215" t="s">
        <v>113</v>
      </c>
      <c r="C215">
        <v>2511</v>
      </c>
      <c r="D215" t="s">
        <v>527</v>
      </c>
      <c r="E215">
        <v>2021</v>
      </c>
      <c r="F215" s="611">
        <v>3787.1</v>
      </c>
      <c r="G215" s="15">
        <v>64122.6</v>
      </c>
      <c r="H215" t="s">
        <v>232</v>
      </c>
      <c r="I215" s="609">
        <f t="shared" si="8"/>
        <v>3787.1</v>
      </c>
    </row>
    <row r="216" spans="1:10">
      <c r="A216" t="s">
        <v>57</v>
      </c>
      <c r="B216" t="s">
        <v>113</v>
      </c>
      <c r="C216">
        <v>2511</v>
      </c>
      <c r="D216" t="s">
        <v>528</v>
      </c>
      <c r="E216">
        <v>2021</v>
      </c>
      <c r="F216" s="611">
        <v>3035.7</v>
      </c>
      <c r="G216" s="15">
        <v>50985.4</v>
      </c>
      <c r="H216" t="s">
        <v>232</v>
      </c>
      <c r="I216" s="609">
        <f t="shared" si="8"/>
        <v>3035.7</v>
      </c>
    </row>
    <row r="217" spans="1:10">
      <c r="A217" t="s">
        <v>57</v>
      </c>
      <c r="B217" t="s">
        <v>113</v>
      </c>
      <c r="C217">
        <v>2511</v>
      </c>
      <c r="D217" t="s">
        <v>529</v>
      </c>
      <c r="E217">
        <v>2021</v>
      </c>
      <c r="F217" s="611">
        <v>3157.6</v>
      </c>
      <c r="G217" s="15">
        <v>53488.6</v>
      </c>
      <c r="H217" t="s">
        <v>232</v>
      </c>
      <c r="I217" s="609">
        <f t="shared" si="8"/>
        <v>3157.6</v>
      </c>
    </row>
    <row r="218" spans="1:10">
      <c r="A218" t="s">
        <v>57</v>
      </c>
      <c r="B218" t="s">
        <v>113</v>
      </c>
      <c r="C218">
        <v>2511</v>
      </c>
      <c r="D218" t="s">
        <v>530</v>
      </c>
      <c r="E218">
        <v>2021</v>
      </c>
      <c r="F218" s="611">
        <v>4464.5</v>
      </c>
      <c r="G218" s="15">
        <v>75185</v>
      </c>
      <c r="H218" t="s">
        <v>232</v>
      </c>
      <c r="I218" s="609">
        <f t="shared" si="8"/>
        <v>4464.5</v>
      </c>
    </row>
    <row r="219" spans="1:10">
      <c r="A219" t="s">
        <v>57</v>
      </c>
      <c r="B219" t="s">
        <v>113</v>
      </c>
      <c r="C219">
        <v>2511</v>
      </c>
      <c r="D219" t="s">
        <v>532</v>
      </c>
      <c r="E219">
        <v>2021</v>
      </c>
      <c r="F219" s="611">
        <v>4105.3</v>
      </c>
      <c r="G219" s="15">
        <v>69142</v>
      </c>
      <c r="H219" t="s">
        <v>232</v>
      </c>
      <c r="I219" s="609">
        <f t="shared" si="8"/>
        <v>4105.3</v>
      </c>
    </row>
    <row r="220" spans="1:10">
      <c r="A220" t="s">
        <v>57</v>
      </c>
      <c r="B220" t="s">
        <v>113</v>
      </c>
      <c r="C220">
        <v>2511</v>
      </c>
      <c r="D220" t="s">
        <v>508</v>
      </c>
      <c r="E220">
        <v>2021</v>
      </c>
      <c r="F220" s="611">
        <v>12342.3</v>
      </c>
      <c r="G220" s="15">
        <v>208464.1</v>
      </c>
      <c r="H220" t="s">
        <v>232</v>
      </c>
      <c r="I220" s="609">
        <f t="shared" si="8"/>
        <v>12342.3</v>
      </c>
    </row>
    <row r="221" spans="1:10">
      <c r="A221" t="s">
        <v>57</v>
      </c>
      <c r="B221" t="s">
        <v>113</v>
      </c>
      <c r="C221">
        <v>2511</v>
      </c>
      <c r="D221" t="s">
        <v>509</v>
      </c>
      <c r="E221">
        <v>2021</v>
      </c>
      <c r="F221" s="611">
        <v>12342.3</v>
      </c>
      <c r="G221" s="15">
        <v>208464.1</v>
      </c>
      <c r="H221" t="s">
        <v>232</v>
      </c>
      <c r="I221" s="609">
        <f t="shared" si="8"/>
        <v>12342.3</v>
      </c>
    </row>
    <row r="222" spans="1:10">
      <c r="A222" t="s">
        <v>57</v>
      </c>
      <c r="B222" t="s">
        <v>113</v>
      </c>
      <c r="C222">
        <v>2511</v>
      </c>
      <c r="D222" t="s">
        <v>510</v>
      </c>
      <c r="E222">
        <v>2021</v>
      </c>
      <c r="F222" s="611">
        <v>12141.5</v>
      </c>
      <c r="G222" s="15">
        <v>204734.4</v>
      </c>
      <c r="H222" t="s">
        <v>232</v>
      </c>
      <c r="I222" s="609">
        <f t="shared" si="8"/>
        <v>12141.5</v>
      </c>
    </row>
    <row r="223" spans="1:10">
      <c r="A223" t="s">
        <v>57</v>
      </c>
      <c r="B223" t="s">
        <v>113</v>
      </c>
      <c r="C223">
        <v>2511</v>
      </c>
      <c r="D223" t="s">
        <v>511</v>
      </c>
      <c r="E223">
        <v>2021</v>
      </c>
      <c r="F223" s="611">
        <v>12141.5</v>
      </c>
      <c r="G223" s="15">
        <v>204734.4</v>
      </c>
      <c r="H223" t="s">
        <v>232</v>
      </c>
      <c r="I223" s="609">
        <f t="shared" si="8"/>
        <v>12141.5</v>
      </c>
    </row>
    <row r="224" spans="1:10">
      <c r="A224" t="s">
        <v>57</v>
      </c>
      <c r="B224" t="s">
        <v>113</v>
      </c>
      <c r="C224">
        <v>2511</v>
      </c>
      <c r="D224" t="s">
        <v>512</v>
      </c>
      <c r="E224">
        <v>2021</v>
      </c>
      <c r="F224" s="611">
        <v>18100.2</v>
      </c>
      <c r="G224" s="15">
        <v>305399.59999999998</v>
      </c>
      <c r="H224" t="s">
        <v>232</v>
      </c>
      <c r="I224" s="609">
        <f t="shared" si="8"/>
        <v>18100.2</v>
      </c>
    </row>
    <row r="225" spans="1:10">
      <c r="A225" t="s">
        <v>57</v>
      </c>
      <c r="B225" t="s">
        <v>113</v>
      </c>
      <c r="C225">
        <v>2511</v>
      </c>
      <c r="D225" t="s">
        <v>513</v>
      </c>
      <c r="E225">
        <v>2021</v>
      </c>
      <c r="F225" s="611">
        <v>18100.2</v>
      </c>
      <c r="G225" s="15">
        <v>305399.59999999998</v>
      </c>
      <c r="H225" t="s">
        <v>232</v>
      </c>
      <c r="I225" s="609">
        <f t="shared" si="8"/>
        <v>18100.2</v>
      </c>
    </row>
    <row r="226" spans="1:10">
      <c r="A226" t="s">
        <v>57</v>
      </c>
      <c r="B226" t="s">
        <v>113</v>
      </c>
      <c r="C226">
        <v>2511</v>
      </c>
      <c r="D226" t="s">
        <v>514</v>
      </c>
      <c r="E226">
        <v>2021</v>
      </c>
      <c r="F226" s="611">
        <v>11847.6</v>
      </c>
      <c r="G226" s="15">
        <v>200206.4</v>
      </c>
      <c r="H226" t="s">
        <v>232</v>
      </c>
      <c r="I226" s="609">
        <f t="shared" si="8"/>
        <v>11847.6</v>
      </c>
    </row>
    <row r="227" spans="1:10">
      <c r="A227" t="s">
        <v>57</v>
      </c>
      <c r="B227" t="s">
        <v>113</v>
      </c>
      <c r="C227">
        <v>2511</v>
      </c>
      <c r="D227" t="s">
        <v>515</v>
      </c>
      <c r="E227">
        <v>2021</v>
      </c>
      <c r="F227" s="611">
        <v>11847.6</v>
      </c>
      <c r="G227" s="15">
        <v>200206.4</v>
      </c>
      <c r="H227" t="s">
        <v>232</v>
      </c>
      <c r="I227" s="609">
        <f t="shared" si="8"/>
        <v>11847.6</v>
      </c>
    </row>
    <row r="228" spans="1:10">
      <c r="A228" t="s">
        <v>57</v>
      </c>
      <c r="B228" t="s">
        <v>114</v>
      </c>
      <c r="C228">
        <v>2514</v>
      </c>
      <c r="D228" t="s">
        <v>518</v>
      </c>
      <c r="E228">
        <v>2021</v>
      </c>
      <c r="F228" s="611">
        <v>3817.1</v>
      </c>
      <c r="G228" s="15">
        <v>47115.6</v>
      </c>
      <c r="H228" t="s">
        <v>232</v>
      </c>
      <c r="I228" s="609">
        <f t="shared" si="8"/>
        <v>3817.1</v>
      </c>
    </row>
    <row r="229" spans="1:10">
      <c r="A229" t="s">
        <v>57</v>
      </c>
      <c r="B229" t="s">
        <v>114</v>
      </c>
      <c r="C229">
        <v>2514</v>
      </c>
      <c r="D229" t="s">
        <v>519</v>
      </c>
      <c r="E229">
        <v>2021</v>
      </c>
      <c r="F229" s="611">
        <v>1920.2</v>
      </c>
      <c r="G229" s="15">
        <v>23694</v>
      </c>
      <c r="H229" t="s">
        <v>232</v>
      </c>
      <c r="I229" s="609">
        <f t="shared" si="8"/>
        <v>1920.2</v>
      </c>
    </row>
    <row r="230" spans="1:10">
      <c r="A230" t="s">
        <v>57</v>
      </c>
      <c r="B230" t="s">
        <v>115</v>
      </c>
      <c r="C230">
        <v>2516</v>
      </c>
      <c r="D230">
        <v>1</v>
      </c>
      <c r="E230">
        <v>2021</v>
      </c>
      <c r="F230" s="611">
        <v>598006.03799999994</v>
      </c>
      <c r="G230" s="15">
        <v>9532462.4869999997</v>
      </c>
      <c r="H230" t="s">
        <v>240</v>
      </c>
      <c r="I230" s="609">
        <f t="shared" si="8"/>
        <v>598006.03799999994</v>
      </c>
      <c r="J230" s="20"/>
    </row>
    <row r="231" spans="1:10">
      <c r="A231" t="s">
        <v>57</v>
      </c>
      <c r="B231" t="s">
        <v>115</v>
      </c>
      <c r="C231">
        <v>2516</v>
      </c>
      <c r="D231">
        <v>2</v>
      </c>
      <c r="E231">
        <v>2021</v>
      </c>
      <c r="F231" s="611">
        <v>589933.00100000005</v>
      </c>
      <c r="G231" s="15">
        <v>9745906.2329999991</v>
      </c>
      <c r="H231" t="s">
        <v>240</v>
      </c>
      <c r="I231" s="609">
        <f t="shared" si="8"/>
        <v>589933.00100000005</v>
      </c>
      <c r="J231" s="20"/>
    </row>
    <row r="232" spans="1:10">
      <c r="A232" t="s">
        <v>57</v>
      </c>
      <c r="B232" t="s">
        <v>115</v>
      </c>
      <c r="C232">
        <v>2516</v>
      </c>
      <c r="D232">
        <v>3</v>
      </c>
      <c r="E232">
        <v>2021</v>
      </c>
      <c r="F232" s="611">
        <v>549207.96499999997</v>
      </c>
      <c r="G232" s="15">
        <v>8693610.9350000005</v>
      </c>
      <c r="H232" t="s">
        <v>240</v>
      </c>
      <c r="I232" s="609">
        <f t="shared" si="8"/>
        <v>549207.96499999997</v>
      </c>
      <c r="J232" s="20"/>
    </row>
    <row r="233" spans="1:10">
      <c r="A233" t="s">
        <v>57</v>
      </c>
      <c r="B233" t="s">
        <v>115</v>
      </c>
      <c r="C233">
        <v>2516</v>
      </c>
      <c r="D233">
        <v>4</v>
      </c>
      <c r="E233">
        <v>2021</v>
      </c>
      <c r="F233" s="611">
        <v>866973.07200000004</v>
      </c>
      <c r="G233" s="15">
        <v>14461360.043</v>
      </c>
      <c r="H233" t="s">
        <v>240</v>
      </c>
      <c r="I233" s="609">
        <f t="shared" si="8"/>
        <v>866973.07200000004</v>
      </c>
      <c r="J233" s="20"/>
    </row>
    <row r="234" spans="1:10">
      <c r="A234" t="s">
        <v>57</v>
      </c>
      <c r="B234" t="s">
        <v>115</v>
      </c>
      <c r="C234">
        <v>2516</v>
      </c>
      <c r="D234" t="s">
        <v>555</v>
      </c>
      <c r="E234">
        <v>2021</v>
      </c>
      <c r="F234" s="611">
        <v>982.7</v>
      </c>
      <c r="G234" s="15">
        <v>12121.5</v>
      </c>
      <c r="H234" t="s">
        <v>232</v>
      </c>
      <c r="I234" s="609">
        <f t="shared" si="8"/>
        <v>982.7</v>
      </c>
      <c r="J234" s="20"/>
    </row>
    <row r="235" spans="1:10">
      <c r="A235" t="s">
        <v>57</v>
      </c>
      <c r="B235" t="s">
        <v>311</v>
      </c>
      <c r="C235">
        <v>2517</v>
      </c>
      <c r="D235">
        <v>3</v>
      </c>
      <c r="E235">
        <v>2021</v>
      </c>
      <c r="F235" s="611">
        <v>185085.94500000001</v>
      </c>
      <c r="G235" s="15">
        <v>3012151.8790000002</v>
      </c>
      <c r="H235" t="s">
        <v>240</v>
      </c>
      <c r="I235" s="609">
        <f t="shared" si="8"/>
        <v>185085.94500000001</v>
      </c>
      <c r="J235" s="20"/>
    </row>
    <row r="236" spans="1:10">
      <c r="A236" t="s">
        <v>57</v>
      </c>
      <c r="B236" t="s">
        <v>311</v>
      </c>
      <c r="C236">
        <v>2517</v>
      </c>
      <c r="D236">
        <v>4</v>
      </c>
      <c r="E236">
        <v>2021</v>
      </c>
      <c r="F236" s="611">
        <v>123045.011</v>
      </c>
      <c r="G236" s="15">
        <v>1987982.838</v>
      </c>
      <c r="H236" t="s">
        <v>240</v>
      </c>
      <c r="I236" s="609">
        <f t="shared" si="8"/>
        <v>123045.011</v>
      </c>
      <c r="J236" s="20"/>
    </row>
    <row r="237" spans="1:10">
      <c r="A237" t="s">
        <v>57</v>
      </c>
      <c r="B237" t="s">
        <v>311</v>
      </c>
      <c r="C237">
        <v>2517</v>
      </c>
      <c r="D237" t="s">
        <v>555</v>
      </c>
      <c r="E237">
        <v>2021</v>
      </c>
      <c r="F237" s="611">
        <v>843.1</v>
      </c>
      <c r="G237" s="15">
        <v>10400.4</v>
      </c>
      <c r="H237" t="s">
        <v>232</v>
      </c>
      <c r="I237" s="609">
        <f t="shared" si="8"/>
        <v>843.1</v>
      </c>
      <c r="J237" s="20"/>
    </row>
    <row r="238" spans="1:10">
      <c r="A238" t="s">
        <v>57</v>
      </c>
      <c r="B238" t="s">
        <v>311</v>
      </c>
      <c r="C238">
        <v>2517</v>
      </c>
      <c r="D238" t="s">
        <v>312</v>
      </c>
      <c r="E238">
        <v>2021</v>
      </c>
      <c r="F238" s="611">
        <v>36567.809000000001</v>
      </c>
      <c r="G238" s="15">
        <v>610919.16</v>
      </c>
      <c r="H238" t="s">
        <v>232</v>
      </c>
      <c r="I238" s="609">
        <f t="shared" si="8"/>
        <v>36567.809000000001</v>
      </c>
      <c r="J238" s="20"/>
    </row>
    <row r="239" spans="1:10">
      <c r="A239" t="s">
        <v>57</v>
      </c>
      <c r="B239" t="s">
        <v>311</v>
      </c>
      <c r="C239">
        <v>2517</v>
      </c>
      <c r="D239" t="s">
        <v>313</v>
      </c>
      <c r="E239">
        <v>2021</v>
      </c>
      <c r="F239" s="611">
        <v>20718.815999999999</v>
      </c>
      <c r="G239" s="15">
        <v>347728.18300000002</v>
      </c>
      <c r="H239" t="s">
        <v>232</v>
      </c>
      <c r="I239" s="609">
        <f t="shared" si="8"/>
        <v>20718.815999999999</v>
      </c>
      <c r="J239" s="20"/>
    </row>
    <row r="240" spans="1:10">
      <c r="A240" t="s">
        <v>57</v>
      </c>
      <c r="B240" t="s">
        <v>554</v>
      </c>
      <c r="C240">
        <v>2521</v>
      </c>
      <c r="D240" t="s">
        <v>555</v>
      </c>
      <c r="E240">
        <v>2021</v>
      </c>
      <c r="F240" s="611">
        <v>786.6</v>
      </c>
      <c r="G240" s="15">
        <v>9705.2999999999993</v>
      </c>
      <c r="H240" t="s">
        <v>232</v>
      </c>
      <c r="I240" s="609">
        <f t="shared" si="8"/>
        <v>786.6</v>
      </c>
      <c r="J240" s="20"/>
    </row>
    <row r="241" spans="1:11">
      <c r="A241" t="s">
        <v>57</v>
      </c>
      <c r="B241" t="s">
        <v>1577</v>
      </c>
      <c r="C241">
        <v>2527</v>
      </c>
      <c r="D241">
        <v>6</v>
      </c>
      <c r="E241">
        <v>2021</v>
      </c>
      <c r="F241" s="15">
        <v>278846.38400000002</v>
      </c>
      <c r="G241" s="15">
        <v>4703821.88</v>
      </c>
      <c r="H241" t="s">
        <v>240</v>
      </c>
      <c r="I241" s="609"/>
      <c r="J241" s="640" t="s">
        <v>2283</v>
      </c>
    </row>
    <row r="242" spans="1:11">
      <c r="A242" t="s">
        <v>57</v>
      </c>
      <c r="B242" t="s">
        <v>1097</v>
      </c>
      <c r="C242">
        <v>2535</v>
      </c>
      <c r="D242">
        <v>1</v>
      </c>
      <c r="E242">
        <v>2021</v>
      </c>
      <c r="F242" s="611"/>
      <c r="G242" s="15"/>
      <c r="H242" t="s">
        <v>240</v>
      </c>
      <c r="I242" s="609">
        <f t="shared" si="8"/>
        <v>0</v>
      </c>
      <c r="J242" s="20" t="s">
        <v>2087</v>
      </c>
    </row>
    <row r="243" spans="1:11">
      <c r="A243" t="s">
        <v>57</v>
      </c>
      <c r="B243" t="s">
        <v>1097</v>
      </c>
      <c r="C243">
        <v>2535</v>
      </c>
      <c r="D243">
        <v>2</v>
      </c>
      <c r="E243">
        <v>2021</v>
      </c>
      <c r="F243" s="611"/>
      <c r="G243" s="15"/>
      <c r="H243" t="s">
        <v>240</v>
      </c>
      <c r="I243" s="609">
        <f t="shared" si="8"/>
        <v>0</v>
      </c>
      <c r="J243" s="20" t="s">
        <v>2087</v>
      </c>
    </row>
    <row r="244" spans="1:11">
      <c r="A244" t="s">
        <v>57</v>
      </c>
      <c r="B244" t="s">
        <v>277</v>
      </c>
      <c r="C244">
        <v>2539</v>
      </c>
      <c r="D244">
        <v>10001</v>
      </c>
      <c r="E244">
        <v>2021</v>
      </c>
      <c r="F244" s="611">
        <v>752509.86899999995</v>
      </c>
      <c r="G244" s="15">
        <v>12662505.971999999</v>
      </c>
      <c r="H244" t="s">
        <v>235</v>
      </c>
      <c r="I244" s="609">
        <f t="shared" si="8"/>
        <v>752509.86899999995</v>
      </c>
    </row>
    <row r="245" spans="1:11">
      <c r="A245" t="s">
        <v>57</v>
      </c>
      <c r="B245" t="s">
        <v>277</v>
      </c>
      <c r="C245">
        <v>2539</v>
      </c>
      <c r="D245">
        <v>10002</v>
      </c>
      <c r="E245">
        <v>2021</v>
      </c>
      <c r="F245" s="611">
        <v>773676.451</v>
      </c>
      <c r="G245" s="15">
        <v>13018579.931</v>
      </c>
      <c r="H245" t="s">
        <v>235</v>
      </c>
      <c r="I245" s="609">
        <f t="shared" si="8"/>
        <v>773676.451</v>
      </c>
    </row>
    <row r="246" spans="1:11">
      <c r="A246" t="s">
        <v>57</v>
      </c>
      <c r="B246" t="s">
        <v>277</v>
      </c>
      <c r="C246">
        <v>2539</v>
      </c>
      <c r="D246">
        <v>10003</v>
      </c>
      <c r="E246">
        <v>2021</v>
      </c>
      <c r="F246" s="611">
        <v>638172.429</v>
      </c>
      <c r="G246" s="15">
        <v>10738493.005999999</v>
      </c>
      <c r="H246" t="s">
        <v>235</v>
      </c>
      <c r="I246" s="609">
        <f t="shared" si="8"/>
        <v>638172.429</v>
      </c>
    </row>
    <row r="247" spans="1:11">
      <c r="A247" t="s">
        <v>57</v>
      </c>
      <c r="B247" t="s">
        <v>121</v>
      </c>
      <c r="C247">
        <v>2594</v>
      </c>
      <c r="D247">
        <v>5</v>
      </c>
      <c r="E247">
        <v>2021</v>
      </c>
      <c r="F247" s="611">
        <v>19078.304</v>
      </c>
      <c r="G247" s="15">
        <v>235712.652</v>
      </c>
      <c r="H247" t="s">
        <v>247</v>
      </c>
      <c r="I247" s="609">
        <f t="shared" si="8"/>
        <v>19078.304</v>
      </c>
      <c r="J247" s="20"/>
      <c r="K247" s="20"/>
    </row>
    <row r="248" spans="1:11">
      <c r="A248" t="s">
        <v>57</v>
      </c>
      <c r="B248" t="s">
        <v>121</v>
      </c>
      <c r="C248">
        <v>2594</v>
      </c>
      <c r="D248">
        <v>6</v>
      </c>
      <c r="E248">
        <v>2021</v>
      </c>
      <c r="F248" s="611">
        <v>16718.098000000002</v>
      </c>
      <c r="G248" s="15">
        <v>211965.15599999999</v>
      </c>
      <c r="H248" t="s">
        <v>247</v>
      </c>
      <c r="I248" s="609">
        <f t="shared" si="8"/>
        <v>16718.098000000002</v>
      </c>
      <c r="J248" s="20"/>
      <c r="K248" s="20"/>
    </row>
    <row r="249" spans="1:11">
      <c r="A249" t="s">
        <v>57</v>
      </c>
      <c r="B249" t="s">
        <v>283</v>
      </c>
      <c r="C249">
        <v>2625</v>
      </c>
      <c r="D249">
        <v>1</v>
      </c>
      <c r="E249">
        <v>2021</v>
      </c>
      <c r="F249" s="611">
        <v>393328.99300000002</v>
      </c>
      <c r="G249" s="15">
        <v>6635090.9009999996</v>
      </c>
      <c r="H249" t="s">
        <v>240</v>
      </c>
      <c r="I249" s="609">
        <f t="shared" si="8"/>
        <v>393328.99300000002</v>
      </c>
      <c r="J249" s="20"/>
      <c r="K249" s="20"/>
    </row>
    <row r="250" spans="1:11">
      <c r="A250" t="s">
        <v>57</v>
      </c>
      <c r="B250" t="s">
        <v>283</v>
      </c>
      <c r="C250">
        <v>2625</v>
      </c>
      <c r="D250">
        <v>2</v>
      </c>
      <c r="E250">
        <v>2021</v>
      </c>
      <c r="F250" s="611">
        <v>210649.88</v>
      </c>
      <c r="G250" s="15">
        <v>3551428.0180000002</v>
      </c>
      <c r="H250" t="s">
        <v>247</v>
      </c>
      <c r="I250" s="609">
        <f t="shared" si="8"/>
        <v>210649.88</v>
      </c>
      <c r="J250" s="20"/>
      <c r="K250" s="20"/>
    </row>
    <row r="251" spans="1:11">
      <c r="A251" t="s">
        <v>57</v>
      </c>
      <c r="B251" t="s">
        <v>520</v>
      </c>
      <c r="C251">
        <v>2628</v>
      </c>
      <c r="D251">
        <v>1</v>
      </c>
      <c r="E251">
        <v>2021</v>
      </c>
      <c r="F251" s="611">
        <v>193.75800000000001</v>
      </c>
      <c r="G251" s="15">
        <v>3260.0140000000001</v>
      </c>
      <c r="H251" t="s">
        <v>232</v>
      </c>
      <c r="I251" s="609">
        <f t="shared" si="8"/>
        <v>193.75800000000001</v>
      </c>
      <c r="K251" s="20"/>
    </row>
    <row r="252" spans="1:11">
      <c r="A252" t="s">
        <v>57</v>
      </c>
      <c r="B252" t="s">
        <v>549</v>
      </c>
      <c r="C252">
        <v>2632</v>
      </c>
      <c r="D252">
        <v>1</v>
      </c>
      <c r="E252">
        <v>2021</v>
      </c>
      <c r="F252" s="611">
        <v>209.321</v>
      </c>
      <c r="G252" s="15">
        <v>3522.0749999999998</v>
      </c>
      <c r="H252" t="s">
        <v>232</v>
      </c>
      <c r="I252" s="609">
        <f t="shared" si="8"/>
        <v>209.321</v>
      </c>
      <c r="J252" s="20"/>
      <c r="K252" s="20"/>
    </row>
    <row r="253" spans="1:11">
      <c r="A253" t="s">
        <v>57</v>
      </c>
      <c r="B253" t="s">
        <v>289</v>
      </c>
      <c r="C253">
        <v>2679</v>
      </c>
      <c r="D253">
        <v>5</v>
      </c>
      <c r="E253">
        <v>2021</v>
      </c>
      <c r="F253" s="611">
        <v>38029.525000000001</v>
      </c>
      <c r="G253" s="15">
        <v>633352.17500000005</v>
      </c>
      <c r="H253" t="s">
        <v>232</v>
      </c>
      <c r="I253" s="609">
        <f t="shared" si="8"/>
        <v>38029.525000000001</v>
      </c>
    </row>
    <row r="254" spans="1:11">
      <c r="A254" t="s">
        <v>57</v>
      </c>
      <c r="B254" t="s">
        <v>289</v>
      </c>
      <c r="C254">
        <v>2679</v>
      </c>
      <c r="D254" t="s">
        <v>1095</v>
      </c>
      <c r="E254">
        <v>2021</v>
      </c>
      <c r="F254" s="611">
        <v>651.29999999999995</v>
      </c>
      <c r="G254" s="15">
        <v>8036</v>
      </c>
      <c r="H254" t="s">
        <v>232</v>
      </c>
      <c r="I254" s="609">
        <f t="shared" si="8"/>
        <v>651.29999999999995</v>
      </c>
    </row>
    <row r="255" spans="1:11">
      <c r="A255" t="s">
        <v>57</v>
      </c>
      <c r="B255" t="s">
        <v>125</v>
      </c>
      <c r="C255">
        <v>2682</v>
      </c>
      <c r="D255">
        <v>20</v>
      </c>
      <c r="E255">
        <v>2021</v>
      </c>
      <c r="F255" s="611">
        <v>36365.85</v>
      </c>
      <c r="G255" s="15">
        <v>611880.5</v>
      </c>
      <c r="H255" t="s">
        <v>235</v>
      </c>
      <c r="I255" s="609">
        <f t="shared" si="8"/>
        <v>36365.85</v>
      </c>
      <c r="J255" s="20"/>
    </row>
    <row r="256" spans="1:11">
      <c r="A256" t="s">
        <v>57</v>
      </c>
      <c r="B256" t="s">
        <v>1098</v>
      </c>
      <c r="C256">
        <v>6082</v>
      </c>
      <c r="D256">
        <v>1</v>
      </c>
      <c r="E256">
        <v>2021</v>
      </c>
      <c r="F256" s="611"/>
      <c r="G256" s="15"/>
      <c r="H256" t="s">
        <v>247</v>
      </c>
      <c r="I256" s="609">
        <f t="shared" si="8"/>
        <v>0</v>
      </c>
      <c r="J256" s="25" t="s">
        <v>2087</v>
      </c>
    </row>
    <row r="257" spans="1:10">
      <c r="A257" t="s">
        <v>57</v>
      </c>
      <c r="B257" t="s">
        <v>550</v>
      </c>
      <c r="C257">
        <v>7146</v>
      </c>
      <c r="D257" t="s">
        <v>551</v>
      </c>
      <c r="E257">
        <v>2021</v>
      </c>
      <c r="F257" s="611">
        <v>11048.598</v>
      </c>
      <c r="G257" s="15">
        <v>136159.36300000001</v>
      </c>
      <c r="H257" t="s">
        <v>232</v>
      </c>
      <c r="I257" s="609">
        <f t="shared" si="8"/>
        <v>11048.598</v>
      </c>
      <c r="J257" s="20"/>
    </row>
    <row r="258" spans="1:10">
      <c r="A258" t="s">
        <v>57</v>
      </c>
      <c r="B258" t="s">
        <v>550</v>
      </c>
      <c r="C258">
        <v>7146</v>
      </c>
      <c r="D258" t="s">
        <v>552</v>
      </c>
      <c r="E258">
        <v>2021</v>
      </c>
      <c r="F258" s="611">
        <v>7708.7950000000001</v>
      </c>
      <c r="G258" s="15">
        <v>95000.801999999996</v>
      </c>
      <c r="H258" t="s">
        <v>232</v>
      </c>
      <c r="I258" s="609">
        <f t="shared" si="8"/>
        <v>7708.7950000000001</v>
      </c>
      <c r="J258" s="20"/>
    </row>
    <row r="259" spans="1:10">
      <c r="A259" t="s">
        <v>57</v>
      </c>
      <c r="B259" t="s">
        <v>550</v>
      </c>
      <c r="C259">
        <v>7146</v>
      </c>
      <c r="D259" t="s">
        <v>553</v>
      </c>
      <c r="E259">
        <v>2021</v>
      </c>
      <c r="F259" s="611">
        <v>12164.675999999999</v>
      </c>
      <c r="G259" s="15">
        <v>149912.693</v>
      </c>
      <c r="H259" t="s">
        <v>232</v>
      </c>
      <c r="I259" s="609">
        <f t="shared" si="8"/>
        <v>12164.675999999999</v>
      </c>
      <c r="J259" s="20"/>
    </row>
    <row r="260" spans="1:10">
      <c r="A260" t="s">
        <v>57</v>
      </c>
      <c r="B260" t="s">
        <v>550</v>
      </c>
      <c r="C260">
        <v>7146</v>
      </c>
      <c r="D260" t="s">
        <v>292</v>
      </c>
      <c r="E260">
        <v>2021</v>
      </c>
      <c r="F260" s="611">
        <v>3554.4</v>
      </c>
      <c r="G260" s="15">
        <v>43885.8</v>
      </c>
      <c r="H260" t="s">
        <v>232</v>
      </c>
      <c r="I260" s="609">
        <f t="shared" si="8"/>
        <v>3554.4</v>
      </c>
      <c r="J260" s="20"/>
    </row>
    <row r="261" spans="1:10">
      <c r="A261" t="s">
        <v>57</v>
      </c>
      <c r="B261" t="s">
        <v>550</v>
      </c>
      <c r="C261">
        <v>7146</v>
      </c>
      <c r="D261" t="s">
        <v>3668</v>
      </c>
      <c r="E261">
        <v>2021</v>
      </c>
      <c r="F261" s="611">
        <v>1493.3</v>
      </c>
      <c r="G261" s="15">
        <v>18441.5</v>
      </c>
      <c r="H261" t="s">
        <v>232</v>
      </c>
      <c r="I261" s="609">
        <f t="shared" si="8"/>
        <v>1493.3</v>
      </c>
      <c r="J261" s="20"/>
    </row>
    <row r="262" spans="1:10">
      <c r="A262" t="s">
        <v>57</v>
      </c>
      <c r="B262" t="s">
        <v>319</v>
      </c>
      <c r="C262">
        <v>7314</v>
      </c>
      <c r="D262">
        <v>1</v>
      </c>
      <c r="E262">
        <v>2021</v>
      </c>
      <c r="F262" s="611">
        <v>64990.927000000003</v>
      </c>
      <c r="G262" s="15">
        <v>1084042.5689999999</v>
      </c>
      <c r="H262" t="s">
        <v>235</v>
      </c>
      <c r="I262" s="609">
        <f t="shared" si="8"/>
        <v>64990.927000000003</v>
      </c>
      <c r="J262" s="20"/>
    </row>
    <row r="263" spans="1:10">
      <c r="A263" t="s">
        <v>57</v>
      </c>
      <c r="B263" t="s">
        <v>290</v>
      </c>
      <c r="C263">
        <v>7869</v>
      </c>
      <c r="D263" t="s">
        <v>3669</v>
      </c>
      <c r="E263">
        <v>2021</v>
      </c>
      <c r="F263" s="611">
        <v>2.9</v>
      </c>
      <c r="G263" s="15">
        <v>36</v>
      </c>
      <c r="H263" t="s">
        <v>232</v>
      </c>
      <c r="I263" s="609">
        <f t="shared" si="8"/>
        <v>2.9</v>
      </c>
      <c r="J263" s="20"/>
    </row>
    <row r="264" spans="1:10">
      <c r="A264" t="s">
        <v>57</v>
      </c>
      <c r="B264" t="s">
        <v>290</v>
      </c>
      <c r="C264">
        <v>7869</v>
      </c>
      <c r="D264" t="s">
        <v>291</v>
      </c>
      <c r="E264">
        <v>2021</v>
      </c>
      <c r="F264" s="611">
        <v>52619.82</v>
      </c>
      <c r="G264" s="15">
        <v>884208.98800000001</v>
      </c>
      <c r="H264" t="s">
        <v>232</v>
      </c>
      <c r="I264" s="609">
        <f t="shared" si="8"/>
        <v>52619.82</v>
      </c>
      <c r="J264" s="20"/>
    </row>
    <row r="265" spans="1:10">
      <c r="A265" t="s">
        <v>57</v>
      </c>
      <c r="B265" t="s">
        <v>290</v>
      </c>
      <c r="C265">
        <v>7869</v>
      </c>
      <c r="D265" t="s">
        <v>292</v>
      </c>
      <c r="E265">
        <v>2021</v>
      </c>
      <c r="F265" s="611">
        <v>35303.572999999997</v>
      </c>
      <c r="G265" s="15">
        <v>589740.348</v>
      </c>
      <c r="H265" t="s">
        <v>232</v>
      </c>
      <c r="I265" s="609">
        <f t="shared" si="8"/>
        <v>35303.572999999997</v>
      </c>
    </row>
    <row r="266" spans="1:10">
      <c r="A266" t="s">
        <v>57</v>
      </c>
      <c r="B266" t="s">
        <v>28</v>
      </c>
      <c r="C266">
        <v>7909</v>
      </c>
      <c r="D266" t="s">
        <v>320</v>
      </c>
      <c r="E266">
        <v>2021</v>
      </c>
      <c r="F266" s="611">
        <v>26086.848000000002</v>
      </c>
      <c r="G266" s="15">
        <v>438953.63099999999</v>
      </c>
      <c r="H266" t="s">
        <v>232</v>
      </c>
      <c r="I266" s="609">
        <f t="shared" si="8"/>
        <v>26086.848000000002</v>
      </c>
    </row>
    <row r="267" spans="1:10">
      <c r="A267" t="s">
        <v>57</v>
      </c>
      <c r="B267" t="s">
        <v>28</v>
      </c>
      <c r="C267">
        <v>7909</v>
      </c>
      <c r="D267" t="s">
        <v>321</v>
      </c>
      <c r="E267">
        <v>2021</v>
      </c>
      <c r="F267" s="611">
        <v>30178.560000000001</v>
      </c>
      <c r="G267" s="15">
        <v>507834.87699999998</v>
      </c>
      <c r="H267" t="s">
        <v>232</v>
      </c>
      <c r="I267" s="609">
        <f t="shared" si="8"/>
        <v>30178.560000000001</v>
      </c>
    </row>
    <row r="268" spans="1:10">
      <c r="A268" t="s">
        <v>57</v>
      </c>
      <c r="B268" t="s">
        <v>269</v>
      </c>
      <c r="C268">
        <v>7910</v>
      </c>
      <c r="D268">
        <v>2301</v>
      </c>
      <c r="E268">
        <v>2021</v>
      </c>
      <c r="F268" s="611">
        <v>25831.816999999999</v>
      </c>
      <c r="G268" s="15">
        <v>434668.95299999998</v>
      </c>
      <c r="H268" t="s">
        <v>232</v>
      </c>
      <c r="I268" s="609">
        <f t="shared" si="8"/>
        <v>25831.816999999999</v>
      </c>
      <c r="J268" s="20"/>
    </row>
    <row r="269" spans="1:10">
      <c r="A269" t="s">
        <v>57</v>
      </c>
      <c r="B269" t="s">
        <v>269</v>
      </c>
      <c r="C269">
        <v>7910</v>
      </c>
      <c r="D269">
        <v>2302</v>
      </c>
      <c r="E269">
        <v>2021</v>
      </c>
      <c r="F269" s="611">
        <v>24732.85</v>
      </c>
      <c r="G269" s="15">
        <v>416190.51400000002</v>
      </c>
      <c r="H269" t="s">
        <v>232</v>
      </c>
      <c r="I269" s="609">
        <f t="shared" si="8"/>
        <v>24732.85</v>
      </c>
      <c r="J269" s="20"/>
    </row>
    <row r="270" spans="1:10">
      <c r="A270" t="s">
        <v>57</v>
      </c>
      <c r="B270" t="s">
        <v>29</v>
      </c>
      <c r="C270">
        <v>7912</v>
      </c>
      <c r="D270" t="s">
        <v>284</v>
      </c>
      <c r="E270">
        <v>2021</v>
      </c>
      <c r="F270" s="611">
        <v>39683.428999999996</v>
      </c>
      <c r="G270" s="15">
        <v>667723.48499999999</v>
      </c>
      <c r="H270" t="s">
        <v>232</v>
      </c>
      <c r="I270" s="609">
        <f t="shared" si="8"/>
        <v>39683.428999999996</v>
      </c>
      <c r="J270" s="20"/>
    </row>
    <row r="271" spans="1:10">
      <c r="A271" t="s">
        <v>57</v>
      </c>
      <c r="B271" t="s">
        <v>30</v>
      </c>
      <c r="C271">
        <v>7913</v>
      </c>
      <c r="D271" t="s">
        <v>297</v>
      </c>
      <c r="E271">
        <v>2021</v>
      </c>
      <c r="F271" s="611">
        <v>24640.638999999999</v>
      </c>
      <c r="G271" s="15">
        <v>414699.87599999999</v>
      </c>
      <c r="H271" t="s">
        <v>232</v>
      </c>
      <c r="I271" s="609">
        <f t="shared" ref="I271:I305" si="9">F271</f>
        <v>24640.638999999999</v>
      </c>
      <c r="J271" s="20"/>
    </row>
    <row r="272" spans="1:10">
      <c r="A272" t="s">
        <v>57</v>
      </c>
      <c r="B272" t="s">
        <v>30</v>
      </c>
      <c r="C272">
        <v>7913</v>
      </c>
      <c r="D272" t="s">
        <v>298</v>
      </c>
      <c r="E272">
        <v>2021</v>
      </c>
      <c r="F272" s="611">
        <v>23110.834999999999</v>
      </c>
      <c r="G272" s="15">
        <v>388887.22100000002</v>
      </c>
      <c r="H272" t="s">
        <v>232</v>
      </c>
      <c r="I272" s="609">
        <f t="shared" si="9"/>
        <v>23110.834999999999</v>
      </c>
      <c r="J272" s="20"/>
    </row>
    <row r="273" spans="1:10">
      <c r="A273" t="s">
        <v>57</v>
      </c>
      <c r="B273" t="s">
        <v>31</v>
      </c>
      <c r="C273">
        <v>7914</v>
      </c>
      <c r="D273" t="s">
        <v>293</v>
      </c>
      <c r="E273">
        <v>2021</v>
      </c>
      <c r="F273" s="611">
        <v>25153.254000000001</v>
      </c>
      <c r="G273" s="15">
        <v>423236.52</v>
      </c>
      <c r="H273" t="s">
        <v>232</v>
      </c>
      <c r="I273" s="609">
        <f t="shared" si="9"/>
        <v>25153.254000000001</v>
      </c>
    </row>
    <row r="274" spans="1:10">
      <c r="A274" t="s">
        <v>57</v>
      </c>
      <c r="B274" t="s">
        <v>31</v>
      </c>
      <c r="C274">
        <v>7914</v>
      </c>
      <c r="D274" t="s">
        <v>294</v>
      </c>
      <c r="E274">
        <v>2021</v>
      </c>
      <c r="F274" s="611">
        <v>20675.161</v>
      </c>
      <c r="G274" s="15">
        <v>347903.43</v>
      </c>
      <c r="H274" t="s">
        <v>232</v>
      </c>
      <c r="I274" s="609">
        <f t="shared" si="9"/>
        <v>20675.161</v>
      </c>
      <c r="J274" s="20"/>
    </row>
    <row r="275" spans="1:10">
      <c r="A275" t="s">
        <v>57</v>
      </c>
      <c r="B275" t="s">
        <v>32</v>
      </c>
      <c r="C275">
        <v>7915</v>
      </c>
      <c r="D275" t="s">
        <v>306</v>
      </c>
      <c r="E275">
        <v>2021</v>
      </c>
      <c r="F275" s="611">
        <v>22382.225999999999</v>
      </c>
      <c r="G275" s="15">
        <v>376628.12</v>
      </c>
      <c r="H275" t="s">
        <v>232</v>
      </c>
      <c r="I275" s="609">
        <f t="shared" si="9"/>
        <v>22382.225999999999</v>
      </c>
    </row>
    <row r="276" spans="1:10">
      <c r="A276" t="s">
        <v>57</v>
      </c>
      <c r="B276" t="s">
        <v>1807</v>
      </c>
      <c r="C276">
        <v>8006</v>
      </c>
      <c r="D276">
        <v>1</v>
      </c>
      <c r="E276">
        <v>2021</v>
      </c>
      <c r="F276" s="611">
        <v>36837.033000000003</v>
      </c>
      <c r="G276" s="15">
        <v>614240.68500000006</v>
      </c>
      <c r="H276" t="s">
        <v>240</v>
      </c>
      <c r="I276" s="609">
        <f t="shared" si="9"/>
        <v>36837.033000000003</v>
      </c>
    </row>
    <row r="277" spans="1:10">
      <c r="A277" t="s">
        <v>57</v>
      </c>
      <c r="B277" t="s">
        <v>1807</v>
      </c>
      <c r="C277">
        <v>8006</v>
      </c>
      <c r="D277">
        <v>2</v>
      </c>
      <c r="E277">
        <v>2021</v>
      </c>
      <c r="F277" s="611">
        <v>61542.964</v>
      </c>
      <c r="G277" s="15">
        <v>1004159.0550000001</v>
      </c>
      <c r="H277" t="s">
        <v>240</v>
      </c>
      <c r="I277" s="609">
        <f t="shared" si="9"/>
        <v>61542.964</v>
      </c>
      <c r="J277" s="20"/>
    </row>
    <row r="278" spans="1:10">
      <c r="A278" t="s">
        <v>57</v>
      </c>
      <c r="B278" t="s">
        <v>521</v>
      </c>
      <c r="C278">
        <v>8007</v>
      </c>
      <c r="D278" t="s">
        <v>522</v>
      </c>
      <c r="E278">
        <v>2021</v>
      </c>
      <c r="F278" s="611">
        <v>3858.6</v>
      </c>
      <c r="G278" s="15">
        <v>47633.5</v>
      </c>
      <c r="H278" t="s">
        <v>232</v>
      </c>
      <c r="I278" s="609">
        <f t="shared" si="9"/>
        <v>3858.6</v>
      </c>
    </row>
    <row r="279" spans="1:10">
      <c r="A279" t="s">
        <v>57</v>
      </c>
      <c r="B279" t="s">
        <v>521</v>
      </c>
      <c r="C279">
        <v>8007</v>
      </c>
      <c r="D279" t="s">
        <v>523</v>
      </c>
      <c r="E279">
        <v>2021</v>
      </c>
      <c r="F279" s="611">
        <v>3858.6</v>
      </c>
      <c r="G279" s="15">
        <v>47633.5</v>
      </c>
      <c r="H279" t="s">
        <v>232</v>
      </c>
      <c r="I279" s="609">
        <f t="shared" si="9"/>
        <v>3858.6</v>
      </c>
    </row>
    <row r="280" spans="1:10">
      <c r="A280" t="s">
        <v>57</v>
      </c>
      <c r="B280" t="s">
        <v>521</v>
      </c>
      <c r="C280">
        <v>8007</v>
      </c>
      <c r="D280" t="s">
        <v>524</v>
      </c>
      <c r="E280">
        <v>2021</v>
      </c>
      <c r="F280" s="611">
        <v>1669</v>
      </c>
      <c r="G280" s="15">
        <v>20592.099999999999</v>
      </c>
      <c r="H280" t="s">
        <v>232</v>
      </c>
      <c r="I280" s="609">
        <f t="shared" si="9"/>
        <v>1669</v>
      </c>
      <c r="J280" s="20"/>
    </row>
    <row r="281" spans="1:10">
      <c r="A281" t="s">
        <v>57</v>
      </c>
      <c r="B281" t="s">
        <v>521</v>
      </c>
      <c r="C281">
        <v>8007</v>
      </c>
      <c r="D281" t="s">
        <v>525</v>
      </c>
      <c r="E281">
        <v>2021</v>
      </c>
      <c r="F281" s="611">
        <v>1667.9</v>
      </c>
      <c r="G281" s="15">
        <v>20578.2</v>
      </c>
      <c r="H281" t="s">
        <v>232</v>
      </c>
      <c r="I281" s="609">
        <f t="shared" si="9"/>
        <v>1667.9</v>
      </c>
      <c r="J281" s="20"/>
    </row>
    <row r="282" spans="1:10">
      <c r="A282" t="s">
        <v>57</v>
      </c>
      <c r="B282" t="s">
        <v>521</v>
      </c>
      <c r="C282">
        <v>8007</v>
      </c>
      <c r="D282" t="s">
        <v>526</v>
      </c>
      <c r="E282">
        <v>2021</v>
      </c>
      <c r="F282" s="611">
        <v>2261.5</v>
      </c>
      <c r="G282" s="15">
        <v>27915.3</v>
      </c>
      <c r="H282" t="s">
        <v>232</v>
      </c>
      <c r="I282" s="609">
        <f t="shared" si="9"/>
        <v>2261.5</v>
      </c>
      <c r="J282" s="20"/>
    </row>
    <row r="283" spans="1:10">
      <c r="A283" t="s">
        <v>57</v>
      </c>
      <c r="B283" t="s">
        <v>521</v>
      </c>
      <c r="C283">
        <v>8007</v>
      </c>
      <c r="D283" t="s">
        <v>527</v>
      </c>
      <c r="E283">
        <v>2021</v>
      </c>
      <c r="F283" s="611">
        <v>2259.3000000000002</v>
      </c>
      <c r="G283" s="15">
        <v>27887.9</v>
      </c>
      <c r="H283" t="s">
        <v>232</v>
      </c>
      <c r="I283" s="609">
        <f t="shared" si="9"/>
        <v>2259.3000000000002</v>
      </c>
      <c r="J283" s="20"/>
    </row>
    <row r="284" spans="1:10">
      <c r="A284" t="s">
        <v>57</v>
      </c>
      <c r="B284" t="s">
        <v>521</v>
      </c>
      <c r="C284">
        <v>8007</v>
      </c>
      <c r="D284" t="s">
        <v>528</v>
      </c>
      <c r="E284">
        <v>2021</v>
      </c>
      <c r="F284" s="611">
        <v>1414.4</v>
      </c>
      <c r="G284" s="15">
        <v>17465.2</v>
      </c>
      <c r="H284" t="s">
        <v>232</v>
      </c>
      <c r="I284" s="609">
        <f t="shared" si="9"/>
        <v>1414.4</v>
      </c>
      <c r="J284" s="20"/>
    </row>
    <row r="285" spans="1:10">
      <c r="A285" t="s">
        <v>57</v>
      </c>
      <c r="B285" t="s">
        <v>521</v>
      </c>
      <c r="C285">
        <v>8007</v>
      </c>
      <c r="D285" t="s">
        <v>529</v>
      </c>
      <c r="E285">
        <v>2021</v>
      </c>
      <c r="F285" s="611">
        <v>1413.3</v>
      </c>
      <c r="G285" s="15">
        <v>17451.3</v>
      </c>
      <c r="H285" t="s">
        <v>232</v>
      </c>
      <c r="I285" s="609">
        <f t="shared" si="9"/>
        <v>1413.3</v>
      </c>
      <c r="J285" s="20"/>
    </row>
    <row r="286" spans="1:10">
      <c r="A286" t="s">
        <v>57</v>
      </c>
      <c r="B286" t="s">
        <v>521</v>
      </c>
      <c r="C286">
        <v>8007</v>
      </c>
      <c r="D286" t="s">
        <v>530</v>
      </c>
      <c r="E286">
        <v>2021</v>
      </c>
      <c r="F286" s="611">
        <v>1371</v>
      </c>
      <c r="G286" s="15">
        <v>16926.8</v>
      </c>
      <c r="H286" t="s">
        <v>232</v>
      </c>
      <c r="I286" s="609">
        <f t="shared" si="9"/>
        <v>1371</v>
      </c>
    </row>
    <row r="287" spans="1:10">
      <c r="A287" t="s">
        <v>57</v>
      </c>
      <c r="B287" t="s">
        <v>521</v>
      </c>
      <c r="C287">
        <v>8007</v>
      </c>
      <c r="D287" t="s">
        <v>531</v>
      </c>
      <c r="E287">
        <v>2021</v>
      </c>
      <c r="F287" s="611">
        <v>1206.9000000000001</v>
      </c>
      <c r="G287" s="15">
        <v>14900.7</v>
      </c>
      <c r="H287" t="s">
        <v>232</v>
      </c>
      <c r="I287" s="609">
        <f t="shared" si="9"/>
        <v>1206.9000000000001</v>
      </c>
      <c r="J287" s="20"/>
    </row>
    <row r="288" spans="1:10">
      <c r="A288" t="s">
        <v>57</v>
      </c>
      <c r="B288" t="s">
        <v>521</v>
      </c>
      <c r="C288">
        <v>8007</v>
      </c>
      <c r="D288" t="s">
        <v>532</v>
      </c>
      <c r="E288">
        <v>2021</v>
      </c>
      <c r="F288" s="611">
        <v>4513.3999999999996</v>
      </c>
      <c r="G288" s="15">
        <v>55724.800000000003</v>
      </c>
      <c r="H288" t="s">
        <v>232</v>
      </c>
      <c r="I288" s="609">
        <f t="shared" si="9"/>
        <v>4513.3999999999996</v>
      </c>
      <c r="J288" s="20"/>
    </row>
    <row r="289" spans="1:10">
      <c r="A289" t="s">
        <v>57</v>
      </c>
      <c r="B289" t="s">
        <v>521</v>
      </c>
      <c r="C289">
        <v>8007</v>
      </c>
      <c r="D289" t="s">
        <v>508</v>
      </c>
      <c r="E289">
        <v>2021</v>
      </c>
      <c r="F289" s="611">
        <v>4512.3</v>
      </c>
      <c r="G289" s="15">
        <v>55710.9</v>
      </c>
      <c r="H289" t="s">
        <v>232</v>
      </c>
      <c r="I289" s="609">
        <f t="shared" si="9"/>
        <v>4512.3</v>
      </c>
      <c r="J289" s="20"/>
    </row>
    <row r="290" spans="1:10">
      <c r="A290" t="s">
        <v>57</v>
      </c>
      <c r="B290" t="s">
        <v>521</v>
      </c>
      <c r="C290">
        <v>8007</v>
      </c>
      <c r="D290" t="s">
        <v>509</v>
      </c>
      <c r="E290">
        <v>2021</v>
      </c>
      <c r="F290" s="611">
        <v>1273.8</v>
      </c>
      <c r="G290" s="15">
        <v>15726.7</v>
      </c>
      <c r="H290" t="s">
        <v>232</v>
      </c>
      <c r="I290" s="609">
        <f t="shared" si="9"/>
        <v>1273.8</v>
      </c>
      <c r="J290" s="20"/>
    </row>
    <row r="291" spans="1:10">
      <c r="A291" t="s">
        <v>57</v>
      </c>
      <c r="B291" t="s">
        <v>521</v>
      </c>
      <c r="C291">
        <v>8007</v>
      </c>
      <c r="D291" t="s">
        <v>510</v>
      </c>
      <c r="E291">
        <v>2021</v>
      </c>
      <c r="F291" s="611">
        <v>1273.8</v>
      </c>
      <c r="G291" s="15">
        <v>15726.7</v>
      </c>
      <c r="H291" t="s">
        <v>232</v>
      </c>
      <c r="I291" s="609">
        <f t="shared" si="9"/>
        <v>1273.8</v>
      </c>
      <c r="J291" s="20"/>
    </row>
    <row r="292" spans="1:10">
      <c r="A292" t="s">
        <v>57</v>
      </c>
      <c r="B292" t="s">
        <v>521</v>
      </c>
      <c r="C292">
        <v>8007</v>
      </c>
      <c r="D292" t="s">
        <v>511</v>
      </c>
      <c r="E292">
        <v>2021</v>
      </c>
      <c r="F292" s="611">
        <v>1036.2</v>
      </c>
      <c r="G292" s="15">
        <v>12789.4</v>
      </c>
      <c r="H292" t="s">
        <v>232</v>
      </c>
      <c r="I292" s="609">
        <f t="shared" si="9"/>
        <v>1036.2</v>
      </c>
      <c r="J292" s="20"/>
    </row>
    <row r="293" spans="1:10">
      <c r="A293" t="s">
        <v>57</v>
      </c>
      <c r="B293" t="s">
        <v>521</v>
      </c>
      <c r="C293">
        <v>8007</v>
      </c>
      <c r="D293" t="s">
        <v>512</v>
      </c>
      <c r="E293">
        <v>2021</v>
      </c>
      <c r="F293" s="611">
        <v>1036.2</v>
      </c>
      <c r="G293" s="15">
        <v>12789.4</v>
      </c>
      <c r="H293" t="s">
        <v>232</v>
      </c>
      <c r="I293" s="609">
        <f t="shared" si="9"/>
        <v>1036.2</v>
      </c>
      <c r="J293" s="20"/>
    </row>
    <row r="294" spans="1:10">
      <c r="A294" t="s">
        <v>57</v>
      </c>
      <c r="B294" t="s">
        <v>521</v>
      </c>
      <c r="C294">
        <v>8007</v>
      </c>
      <c r="D294" t="s">
        <v>513</v>
      </c>
      <c r="E294">
        <v>2021</v>
      </c>
      <c r="F294" s="611">
        <v>2278.6</v>
      </c>
      <c r="G294" s="15">
        <v>28127.1</v>
      </c>
      <c r="H294" t="s">
        <v>232</v>
      </c>
      <c r="I294" s="609">
        <f t="shared" si="9"/>
        <v>2278.6</v>
      </c>
      <c r="J294" s="20"/>
    </row>
    <row r="295" spans="1:10">
      <c r="A295" t="s">
        <v>57</v>
      </c>
      <c r="B295" t="s">
        <v>521</v>
      </c>
      <c r="C295">
        <v>8007</v>
      </c>
      <c r="D295" t="s">
        <v>514</v>
      </c>
      <c r="E295">
        <v>2021</v>
      </c>
      <c r="F295" s="611">
        <v>2278.6</v>
      </c>
      <c r="G295" s="15">
        <v>28127.1</v>
      </c>
      <c r="H295" t="s">
        <v>232</v>
      </c>
      <c r="I295" s="609">
        <f t="shared" si="9"/>
        <v>2278.6</v>
      </c>
      <c r="J295" s="20"/>
    </row>
    <row r="296" spans="1:10">
      <c r="A296" t="s">
        <v>57</v>
      </c>
      <c r="B296" t="s">
        <v>521</v>
      </c>
      <c r="C296">
        <v>8007</v>
      </c>
      <c r="D296" t="s">
        <v>515</v>
      </c>
      <c r="E296">
        <v>2021</v>
      </c>
      <c r="F296" s="611">
        <v>2423.5</v>
      </c>
      <c r="G296" s="15">
        <v>29910.5</v>
      </c>
      <c r="H296" t="s">
        <v>232</v>
      </c>
      <c r="I296" s="609">
        <f t="shared" si="9"/>
        <v>2423.5</v>
      </c>
      <c r="J296" s="20"/>
    </row>
    <row r="297" spans="1:10">
      <c r="A297" t="s">
        <v>57</v>
      </c>
      <c r="B297" t="s">
        <v>521</v>
      </c>
      <c r="C297">
        <v>8007</v>
      </c>
      <c r="D297" t="s">
        <v>518</v>
      </c>
      <c r="E297">
        <v>2021</v>
      </c>
      <c r="F297" s="611">
        <v>2429.9</v>
      </c>
      <c r="G297" s="15">
        <v>29991</v>
      </c>
      <c r="H297" t="s">
        <v>232</v>
      </c>
      <c r="I297" s="609">
        <f t="shared" si="9"/>
        <v>2429.9</v>
      </c>
      <c r="J297" s="20"/>
    </row>
    <row r="298" spans="1:10">
      <c r="A298" t="s">
        <v>57</v>
      </c>
      <c r="B298" t="s">
        <v>314</v>
      </c>
      <c r="C298">
        <v>8053</v>
      </c>
      <c r="D298" t="s">
        <v>315</v>
      </c>
      <c r="E298">
        <v>2021</v>
      </c>
      <c r="F298" s="611">
        <v>36703.633000000002</v>
      </c>
      <c r="G298" s="15">
        <v>617621.91299999994</v>
      </c>
      <c r="H298" t="s">
        <v>232</v>
      </c>
      <c r="I298" s="609">
        <f t="shared" si="9"/>
        <v>36703.633000000002</v>
      </c>
      <c r="J298" s="20"/>
    </row>
    <row r="299" spans="1:10">
      <c r="A299" t="s">
        <v>57</v>
      </c>
      <c r="B299" t="s">
        <v>151</v>
      </c>
      <c r="C299">
        <v>8906</v>
      </c>
      <c r="D299">
        <v>20</v>
      </c>
      <c r="E299">
        <v>2021</v>
      </c>
      <c r="F299" s="611">
        <v>7524.625</v>
      </c>
      <c r="G299" s="15">
        <v>126617.179</v>
      </c>
      <c r="H299" t="s">
        <v>247</v>
      </c>
      <c r="I299" s="609">
        <f t="shared" si="9"/>
        <v>7524.625</v>
      </c>
      <c r="J299" s="25" t="s">
        <v>3680</v>
      </c>
    </row>
    <row r="300" spans="1:10">
      <c r="A300" t="s">
        <v>57</v>
      </c>
      <c r="B300" t="s">
        <v>151</v>
      </c>
      <c r="C300">
        <v>8906</v>
      </c>
      <c r="D300" t="s">
        <v>500</v>
      </c>
      <c r="E300">
        <v>2021</v>
      </c>
      <c r="F300" s="611">
        <v>96127.557000000001</v>
      </c>
      <c r="G300" s="15">
        <v>1616464.7549999999</v>
      </c>
      <c r="H300" t="s">
        <v>247</v>
      </c>
      <c r="I300" s="609">
        <f t="shared" si="9"/>
        <v>96127.557000000001</v>
      </c>
      <c r="J300" s="25" t="s">
        <v>3680</v>
      </c>
    </row>
    <row r="301" spans="1:10">
      <c r="A301" t="s">
        <v>57</v>
      </c>
      <c r="B301" t="s">
        <v>151</v>
      </c>
      <c r="C301">
        <v>8906</v>
      </c>
      <c r="D301" t="s">
        <v>501</v>
      </c>
      <c r="E301">
        <v>2021</v>
      </c>
      <c r="F301" s="611">
        <v>91103.126999999993</v>
      </c>
      <c r="G301" s="15">
        <v>1531729.497</v>
      </c>
      <c r="H301" t="s">
        <v>247</v>
      </c>
      <c r="I301" s="609">
        <f t="shared" si="9"/>
        <v>91103.126999999993</v>
      </c>
      <c r="J301" s="25" t="s">
        <v>3680</v>
      </c>
    </row>
    <row r="302" spans="1:10">
      <c r="A302" t="s">
        <v>57</v>
      </c>
      <c r="B302" t="s">
        <v>151</v>
      </c>
      <c r="C302">
        <v>8906</v>
      </c>
      <c r="D302" t="s">
        <v>502</v>
      </c>
      <c r="E302">
        <v>2021</v>
      </c>
      <c r="F302" s="611">
        <v>153844.19099999999</v>
      </c>
      <c r="G302" s="15">
        <v>2573247.2459999998</v>
      </c>
      <c r="H302" t="s">
        <v>240</v>
      </c>
      <c r="I302" s="609">
        <f t="shared" si="9"/>
        <v>153844.19099999999</v>
      </c>
      <c r="J302" s="25" t="s">
        <v>3680</v>
      </c>
    </row>
    <row r="303" spans="1:10">
      <c r="A303" t="s">
        <v>57</v>
      </c>
      <c r="B303" t="s">
        <v>151</v>
      </c>
      <c r="C303">
        <v>8906</v>
      </c>
      <c r="D303" t="s">
        <v>503</v>
      </c>
      <c r="E303">
        <v>2021</v>
      </c>
      <c r="F303" s="611">
        <v>154776.193</v>
      </c>
      <c r="G303" s="15">
        <v>2588713.9709999999</v>
      </c>
      <c r="H303" t="s">
        <v>240</v>
      </c>
      <c r="I303" s="609">
        <f t="shared" si="9"/>
        <v>154776.193</v>
      </c>
      <c r="J303" s="25" t="s">
        <v>3680</v>
      </c>
    </row>
    <row r="304" spans="1:10">
      <c r="A304" t="s">
        <v>57</v>
      </c>
      <c r="B304" t="s">
        <v>151</v>
      </c>
      <c r="C304">
        <v>8906</v>
      </c>
      <c r="D304" t="s">
        <v>3664</v>
      </c>
      <c r="E304">
        <v>2021</v>
      </c>
      <c r="F304" s="611">
        <v>879.6</v>
      </c>
      <c r="G304" s="15">
        <v>14895.4</v>
      </c>
      <c r="H304" t="s">
        <v>232</v>
      </c>
      <c r="I304" s="609">
        <f t="shared" si="9"/>
        <v>879.6</v>
      </c>
      <c r="J304" s="25" t="s">
        <v>3681</v>
      </c>
    </row>
    <row r="305" spans="1:11">
      <c r="A305" t="s">
        <v>57</v>
      </c>
      <c r="B305" t="s">
        <v>288</v>
      </c>
      <c r="C305">
        <v>10190</v>
      </c>
      <c r="D305">
        <v>1</v>
      </c>
      <c r="E305">
        <v>2021</v>
      </c>
      <c r="F305" s="611">
        <v>81698.482000000004</v>
      </c>
      <c r="G305" s="15">
        <v>1374700.1710000001</v>
      </c>
      <c r="H305" t="s">
        <v>235</v>
      </c>
      <c r="I305" s="609">
        <f t="shared" si="9"/>
        <v>81698.482000000004</v>
      </c>
      <c r="J305" s="20"/>
    </row>
    <row r="306" spans="1:11">
      <c r="A306" t="s">
        <v>57</v>
      </c>
      <c r="B306" t="s">
        <v>504</v>
      </c>
      <c r="C306">
        <v>10464</v>
      </c>
      <c r="D306" t="s">
        <v>505</v>
      </c>
      <c r="E306">
        <v>2021</v>
      </c>
      <c r="F306" s="15">
        <v>200224.69</v>
      </c>
      <c r="G306" s="15">
        <v>1898455.8640000001</v>
      </c>
      <c r="H306" t="s">
        <v>268</v>
      </c>
      <c r="I306" s="609"/>
      <c r="J306" s="20" t="s">
        <v>2086</v>
      </c>
    </row>
    <row r="307" spans="1:11">
      <c r="A307" t="s">
        <v>57</v>
      </c>
      <c r="B307" t="s">
        <v>504</v>
      </c>
      <c r="C307">
        <v>10464</v>
      </c>
      <c r="D307" t="s">
        <v>506</v>
      </c>
      <c r="E307">
        <v>2021</v>
      </c>
      <c r="F307" s="15">
        <v>206035.09700000001</v>
      </c>
      <c r="G307" s="15">
        <v>1953834.7</v>
      </c>
      <c r="H307" t="s">
        <v>268</v>
      </c>
      <c r="I307" s="609"/>
      <c r="J307" s="20" t="s">
        <v>2086</v>
      </c>
    </row>
    <row r="308" spans="1:11">
      <c r="A308" t="s">
        <v>57</v>
      </c>
      <c r="B308" t="s">
        <v>504</v>
      </c>
      <c r="C308">
        <v>10464</v>
      </c>
      <c r="D308" t="s">
        <v>507</v>
      </c>
      <c r="E308">
        <v>2021</v>
      </c>
      <c r="F308" s="15">
        <v>207521.603</v>
      </c>
      <c r="G308" s="15">
        <v>1965063.889</v>
      </c>
      <c r="H308" t="s">
        <v>268</v>
      </c>
      <c r="I308" s="609"/>
      <c r="J308" s="20" t="s">
        <v>2086</v>
      </c>
    </row>
    <row r="309" spans="1:11">
      <c r="A309" t="s">
        <v>57</v>
      </c>
      <c r="B309" t="s">
        <v>1805</v>
      </c>
      <c r="C309">
        <v>10617</v>
      </c>
      <c r="D309">
        <v>1</v>
      </c>
      <c r="E309">
        <v>2021</v>
      </c>
      <c r="F309" s="15">
        <v>2396.511</v>
      </c>
      <c r="G309" s="15">
        <v>40319.946000000004</v>
      </c>
      <c r="H309" t="s">
        <v>235</v>
      </c>
      <c r="I309" s="609"/>
      <c r="J309" s="20" t="s">
        <v>1684</v>
      </c>
    </row>
    <row r="310" spans="1:11">
      <c r="A310" t="s">
        <v>57</v>
      </c>
      <c r="B310" t="s">
        <v>270</v>
      </c>
      <c r="C310">
        <v>10619</v>
      </c>
      <c r="D310">
        <v>1</v>
      </c>
      <c r="E310">
        <v>2021</v>
      </c>
      <c r="F310" s="611">
        <v>7734.0720000000001</v>
      </c>
      <c r="G310" s="15">
        <v>130143.22500000001</v>
      </c>
      <c r="H310" t="s">
        <v>235</v>
      </c>
      <c r="I310" s="609">
        <f>F310</f>
        <v>7734.0720000000001</v>
      </c>
      <c r="J310" s="25" t="s">
        <v>2087</v>
      </c>
    </row>
    <row r="311" spans="1:11">
      <c r="A311" t="s">
        <v>57</v>
      </c>
      <c r="B311" t="s">
        <v>287</v>
      </c>
      <c r="C311">
        <v>10620</v>
      </c>
      <c r="D311">
        <v>1</v>
      </c>
      <c r="E311">
        <v>2021</v>
      </c>
      <c r="F311" s="611">
        <v>2684.06</v>
      </c>
      <c r="G311" s="15">
        <v>45166.892</v>
      </c>
      <c r="H311" t="s">
        <v>235</v>
      </c>
      <c r="I311" s="609">
        <f>F311</f>
        <v>2684.06</v>
      </c>
    </row>
    <row r="312" spans="1:11">
      <c r="A312" t="s">
        <v>57</v>
      </c>
      <c r="B312" t="s">
        <v>1808</v>
      </c>
      <c r="C312">
        <v>10621</v>
      </c>
      <c r="D312">
        <v>1</v>
      </c>
      <c r="E312">
        <v>2021</v>
      </c>
      <c r="F312" s="611">
        <v>6600.7039999999997</v>
      </c>
      <c r="G312" s="15">
        <v>111074.046</v>
      </c>
      <c r="H312" t="s">
        <v>235</v>
      </c>
      <c r="I312" s="609">
        <f>F312</f>
        <v>6600.7039999999997</v>
      </c>
    </row>
    <row r="313" spans="1:11">
      <c r="A313" t="s">
        <v>57</v>
      </c>
      <c r="B313" t="s">
        <v>545</v>
      </c>
      <c r="C313">
        <v>10725</v>
      </c>
      <c r="D313" t="s">
        <v>546</v>
      </c>
      <c r="E313">
        <v>2021</v>
      </c>
      <c r="F313" s="692">
        <v>8256.1270000000004</v>
      </c>
      <c r="G313" s="693">
        <v>138938.35</v>
      </c>
      <c r="H313" t="s">
        <v>235</v>
      </c>
      <c r="I313" s="691">
        <f t="shared" ref="I313:I315" si="10">F313</f>
        <v>8256.1270000000004</v>
      </c>
      <c r="J313" s="675" t="s">
        <v>3682</v>
      </c>
    </row>
    <row r="314" spans="1:11">
      <c r="A314" t="s">
        <v>57</v>
      </c>
      <c r="B314" t="s">
        <v>545</v>
      </c>
      <c r="C314">
        <v>10725</v>
      </c>
      <c r="D314" t="s">
        <v>547</v>
      </c>
      <c r="E314">
        <v>2021</v>
      </c>
      <c r="F314" s="692">
        <v>27077.271000000001</v>
      </c>
      <c r="G314" s="693">
        <v>455642.77</v>
      </c>
      <c r="H314" t="s">
        <v>235</v>
      </c>
      <c r="I314" s="691">
        <f t="shared" si="10"/>
        <v>27077.271000000001</v>
      </c>
      <c r="J314" s="675" t="s">
        <v>3682</v>
      </c>
    </row>
    <row r="315" spans="1:11">
      <c r="A315" t="s">
        <v>57</v>
      </c>
      <c r="B315" t="s">
        <v>545</v>
      </c>
      <c r="C315">
        <v>10725</v>
      </c>
      <c r="D315" t="s">
        <v>548</v>
      </c>
      <c r="E315">
        <v>2021</v>
      </c>
      <c r="F315" s="692">
        <v>23491.72</v>
      </c>
      <c r="G315" s="693">
        <v>395309.02500000002</v>
      </c>
      <c r="H315" t="s">
        <v>235</v>
      </c>
      <c r="I315" s="691">
        <f t="shared" si="10"/>
        <v>23491.72</v>
      </c>
      <c r="J315" s="675" t="s">
        <v>3682</v>
      </c>
    </row>
    <row r="316" spans="1:11">
      <c r="A316" t="s">
        <v>57</v>
      </c>
      <c r="B316" t="s">
        <v>1094</v>
      </c>
      <c r="C316">
        <v>10803</v>
      </c>
      <c r="D316">
        <v>1</v>
      </c>
      <c r="E316">
        <v>2021</v>
      </c>
      <c r="F316" s="611"/>
      <c r="G316" s="15"/>
      <c r="H316" t="s">
        <v>235</v>
      </c>
      <c r="I316" s="609"/>
      <c r="J316" s="20" t="s">
        <v>2087</v>
      </c>
      <c r="K316" s="20"/>
    </row>
    <row r="317" spans="1:11">
      <c r="A317" t="s">
        <v>57</v>
      </c>
      <c r="B317" t="s">
        <v>1094</v>
      </c>
      <c r="C317">
        <v>10803</v>
      </c>
      <c r="D317">
        <v>2</v>
      </c>
      <c r="E317">
        <v>2021</v>
      </c>
      <c r="F317" s="611"/>
      <c r="G317" s="15"/>
      <c r="H317" t="s">
        <v>235</v>
      </c>
      <c r="I317" s="609"/>
      <c r="J317" s="20" t="s">
        <v>2087</v>
      </c>
    </row>
    <row r="318" spans="1:11">
      <c r="A318" t="s">
        <v>57</v>
      </c>
      <c r="B318" t="s">
        <v>278</v>
      </c>
      <c r="C318">
        <v>50292</v>
      </c>
      <c r="D318" t="s">
        <v>279</v>
      </c>
      <c r="E318">
        <v>2021</v>
      </c>
      <c r="F318" s="611">
        <v>25421.68</v>
      </c>
      <c r="G318" s="15">
        <v>427900.016</v>
      </c>
      <c r="H318" t="s">
        <v>235</v>
      </c>
      <c r="I318" s="609">
        <f>F318</f>
        <v>25421.68</v>
      </c>
      <c r="J318" s="20"/>
    </row>
    <row r="319" spans="1:11">
      <c r="A319" t="s">
        <v>57</v>
      </c>
      <c r="B319" t="s">
        <v>278</v>
      </c>
      <c r="C319">
        <v>50292</v>
      </c>
      <c r="D319" t="s">
        <v>280</v>
      </c>
      <c r="E319">
        <v>2021</v>
      </c>
      <c r="F319" s="611">
        <v>93041.880999999994</v>
      </c>
      <c r="G319" s="15">
        <v>1565650.36</v>
      </c>
      <c r="H319" t="s">
        <v>235</v>
      </c>
      <c r="I319" s="609">
        <f>F319</f>
        <v>93041.880999999994</v>
      </c>
    </row>
    <row r="320" spans="1:11">
      <c r="A320" t="s">
        <v>57</v>
      </c>
      <c r="B320" t="s">
        <v>278</v>
      </c>
      <c r="C320">
        <v>50292</v>
      </c>
      <c r="D320" t="s">
        <v>281</v>
      </c>
      <c r="E320">
        <v>2021</v>
      </c>
      <c r="F320" s="611">
        <v>106929.526</v>
      </c>
      <c r="G320" s="15">
        <v>1799261.4310000001</v>
      </c>
      <c r="H320" t="s">
        <v>232</v>
      </c>
      <c r="I320" s="609">
        <f>F320</f>
        <v>106929.526</v>
      </c>
    </row>
    <row r="321" spans="1:11">
      <c r="A321" t="s">
        <v>57</v>
      </c>
      <c r="B321" t="s">
        <v>278</v>
      </c>
      <c r="C321">
        <v>50292</v>
      </c>
      <c r="D321" t="s">
        <v>282</v>
      </c>
      <c r="E321">
        <v>2021</v>
      </c>
      <c r="F321" s="611">
        <v>156158.62299999999</v>
      </c>
      <c r="G321" s="15">
        <v>2627694.7439999999</v>
      </c>
      <c r="H321" t="s">
        <v>235</v>
      </c>
      <c r="I321" s="609">
        <f>F321</f>
        <v>156158.62299999999</v>
      </c>
      <c r="J321" s="20"/>
    </row>
    <row r="322" spans="1:11">
      <c r="A322" t="s">
        <v>57</v>
      </c>
      <c r="B322" t="s">
        <v>302</v>
      </c>
      <c r="C322">
        <v>50449</v>
      </c>
      <c r="D322">
        <v>1</v>
      </c>
      <c r="E322">
        <v>2021</v>
      </c>
      <c r="F322" s="15">
        <v>22224.15</v>
      </c>
      <c r="G322" s="15">
        <v>373953.47499999998</v>
      </c>
      <c r="H322" t="s">
        <v>235</v>
      </c>
      <c r="I322" s="609"/>
      <c r="J322" s="20" t="s">
        <v>1684</v>
      </c>
    </row>
    <row r="323" spans="1:11">
      <c r="A323" t="s">
        <v>57</v>
      </c>
      <c r="B323" t="s">
        <v>301</v>
      </c>
      <c r="C323">
        <v>50450</v>
      </c>
      <c r="D323">
        <v>1</v>
      </c>
      <c r="E323">
        <v>2021</v>
      </c>
      <c r="F323" s="15">
        <v>13190.9</v>
      </c>
      <c r="G323" s="15">
        <v>221912.82500000001</v>
      </c>
      <c r="H323" t="s">
        <v>235</v>
      </c>
      <c r="I323" s="609"/>
      <c r="J323" s="20" t="s">
        <v>1684</v>
      </c>
    </row>
    <row r="324" spans="1:11">
      <c r="A324" t="s">
        <v>57</v>
      </c>
      <c r="B324" t="s">
        <v>303</v>
      </c>
      <c r="C324">
        <v>50451</v>
      </c>
      <c r="D324">
        <v>1</v>
      </c>
      <c r="E324">
        <v>2021</v>
      </c>
      <c r="F324" s="15">
        <v>13483.55</v>
      </c>
      <c r="G324" s="15">
        <v>226822.77499999999</v>
      </c>
      <c r="H324" t="s">
        <v>235</v>
      </c>
      <c r="I324" s="609"/>
      <c r="J324" s="20" t="s">
        <v>1684</v>
      </c>
      <c r="K324" s="20"/>
    </row>
    <row r="325" spans="1:11">
      <c r="A325" t="s">
        <v>57</v>
      </c>
      <c r="B325" t="s">
        <v>299</v>
      </c>
      <c r="C325">
        <v>50458</v>
      </c>
      <c r="D325">
        <v>1</v>
      </c>
      <c r="E325">
        <v>2021</v>
      </c>
      <c r="F325" s="15">
        <v>269456.27500000002</v>
      </c>
      <c r="G325" s="15">
        <v>4534123.6500000004</v>
      </c>
      <c r="H325" t="s">
        <v>235</v>
      </c>
      <c r="I325" s="609"/>
      <c r="J325" s="20" t="s">
        <v>1684</v>
      </c>
      <c r="K325" s="20"/>
    </row>
    <row r="326" spans="1:11">
      <c r="A326" t="s">
        <v>57</v>
      </c>
      <c r="B326" t="s">
        <v>1087</v>
      </c>
      <c r="C326">
        <v>50472</v>
      </c>
      <c r="D326" t="s">
        <v>1088</v>
      </c>
      <c r="E326">
        <v>2021</v>
      </c>
      <c r="F326" s="15">
        <v>16969.424999999999</v>
      </c>
      <c r="G326" s="15">
        <v>285521.42499999999</v>
      </c>
      <c r="H326" t="s">
        <v>247</v>
      </c>
      <c r="I326" s="609"/>
      <c r="J326" s="20" t="s">
        <v>1684</v>
      </c>
      <c r="K326" s="20"/>
    </row>
    <row r="327" spans="1:11">
      <c r="A327" t="s">
        <v>57</v>
      </c>
      <c r="B327" t="s">
        <v>1087</v>
      </c>
      <c r="C327">
        <v>50472</v>
      </c>
      <c r="D327" t="s">
        <v>1811</v>
      </c>
      <c r="E327">
        <v>2021</v>
      </c>
      <c r="F327" s="15"/>
      <c r="G327" s="15"/>
      <c r="H327" t="s">
        <v>247</v>
      </c>
      <c r="I327" s="609"/>
      <c r="J327" s="20" t="s">
        <v>1684</v>
      </c>
    </row>
    <row r="328" spans="1:11">
      <c r="A328" t="s">
        <v>57</v>
      </c>
      <c r="B328" t="s">
        <v>201</v>
      </c>
      <c r="C328">
        <v>50744</v>
      </c>
      <c r="D328">
        <v>1</v>
      </c>
      <c r="E328">
        <v>2021</v>
      </c>
      <c r="F328" s="611">
        <v>7743.3029999999999</v>
      </c>
      <c r="G328" s="15">
        <v>130298.27800000001</v>
      </c>
      <c r="H328" t="s">
        <v>235</v>
      </c>
      <c r="I328" s="609">
        <f>F328</f>
        <v>7743.3029999999999</v>
      </c>
    </row>
    <row r="329" spans="1:11">
      <c r="A329" t="s">
        <v>57</v>
      </c>
      <c r="B329" t="s">
        <v>205</v>
      </c>
      <c r="C329">
        <v>50978</v>
      </c>
      <c r="D329" t="s">
        <v>285</v>
      </c>
      <c r="E329">
        <v>2021</v>
      </c>
      <c r="F329" s="611">
        <v>40275.087</v>
      </c>
      <c r="G329" s="15">
        <v>677691.92500000005</v>
      </c>
      <c r="H329" t="s">
        <v>235</v>
      </c>
      <c r="I329" s="609">
        <f>F329</f>
        <v>40275.087</v>
      </c>
    </row>
    <row r="330" spans="1:11">
      <c r="A330" t="s">
        <v>57</v>
      </c>
      <c r="B330" t="s">
        <v>205</v>
      </c>
      <c r="C330">
        <v>50978</v>
      </c>
      <c r="D330" t="s">
        <v>286</v>
      </c>
      <c r="E330">
        <v>2021</v>
      </c>
      <c r="F330" s="611">
        <v>39059.690999999999</v>
      </c>
      <c r="G330" s="15">
        <v>657208.65399999998</v>
      </c>
      <c r="H330" t="s">
        <v>235</v>
      </c>
      <c r="I330" s="609">
        <f>F330</f>
        <v>39059.690999999999</v>
      </c>
    </row>
    <row r="331" spans="1:11">
      <c r="A331" t="s">
        <v>57</v>
      </c>
      <c r="B331" t="s">
        <v>535</v>
      </c>
      <c r="C331">
        <v>52056</v>
      </c>
      <c r="D331">
        <v>4</v>
      </c>
      <c r="E331">
        <v>2021</v>
      </c>
      <c r="F331" s="15">
        <v>188349.45800000001</v>
      </c>
      <c r="G331" s="15">
        <v>3167354.219</v>
      </c>
      <c r="H331" t="s">
        <v>235</v>
      </c>
      <c r="I331" s="609"/>
      <c r="J331" s="20" t="s">
        <v>1684</v>
      </c>
    </row>
    <row r="332" spans="1:11">
      <c r="A332" t="s">
        <v>57</v>
      </c>
      <c r="B332" t="s">
        <v>18</v>
      </c>
      <c r="C332">
        <v>54034</v>
      </c>
      <c r="D332" t="s">
        <v>318</v>
      </c>
      <c r="E332">
        <v>2021</v>
      </c>
      <c r="F332" s="611">
        <v>18455.017</v>
      </c>
      <c r="G332" s="15">
        <v>310544.90700000001</v>
      </c>
      <c r="H332" t="s">
        <v>235</v>
      </c>
      <c r="I332" s="609">
        <f>F332</f>
        <v>18455.017</v>
      </c>
      <c r="J332" s="20" t="s">
        <v>2088</v>
      </c>
    </row>
    <row r="333" spans="1:11">
      <c r="A333" t="s">
        <v>57</v>
      </c>
      <c r="B333" t="s">
        <v>534</v>
      </c>
      <c r="C333">
        <v>54041</v>
      </c>
      <c r="D333">
        <v>11854</v>
      </c>
      <c r="E333">
        <v>2021</v>
      </c>
      <c r="F333" s="15">
        <v>10435.498</v>
      </c>
      <c r="G333" s="15">
        <v>175651.432</v>
      </c>
      <c r="H333" t="s">
        <v>235</v>
      </c>
      <c r="I333" s="609"/>
      <c r="J333" s="20" t="s">
        <v>1684</v>
      </c>
    </row>
    <row r="334" spans="1:11">
      <c r="A334" t="s">
        <v>57</v>
      </c>
      <c r="B334" t="s">
        <v>534</v>
      </c>
      <c r="C334">
        <v>54041</v>
      </c>
      <c r="D334">
        <v>11855</v>
      </c>
      <c r="E334">
        <v>2021</v>
      </c>
      <c r="F334" s="15">
        <v>11600.831</v>
      </c>
      <c r="G334" s="15">
        <v>195255.78700000001</v>
      </c>
      <c r="H334" t="s">
        <v>235</v>
      </c>
      <c r="I334" s="609"/>
      <c r="J334" s="20" t="s">
        <v>1684</v>
      </c>
    </row>
    <row r="335" spans="1:11">
      <c r="A335" t="s">
        <v>57</v>
      </c>
      <c r="B335" t="s">
        <v>534</v>
      </c>
      <c r="C335">
        <v>54041</v>
      </c>
      <c r="D335">
        <v>11856</v>
      </c>
      <c r="E335">
        <v>2021</v>
      </c>
      <c r="F335" s="15">
        <v>9216.0349999999999</v>
      </c>
      <c r="G335" s="15">
        <v>155085.23800000001</v>
      </c>
      <c r="H335" t="s">
        <v>235</v>
      </c>
      <c r="I335" s="609"/>
      <c r="J335" s="20" t="s">
        <v>1684</v>
      </c>
    </row>
    <row r="336" spans="1:11">
      <c r="A336" t="s">
        <v>57</v>
      </c>
      <c r="B336" t="s">
        <v>300</v>
      </c>
      <c r="C336">
        <v>54076</v>
      </c>
      <c r="D336">
        <v>1</v>
      </c>
      <c r="E336">
        <v>2021</v>
      </c>
      <c r="F336" s="15">
        <v>28388.325000000001</v>
      </c>
      <c r="G336" s="15">
        <v>477669.92499999999</v>
      </c>
      <c r="H336" t="s">
        <v>235</v>
      </c>
      <c r="I336" s="609"/>
      <c r="J336" s="20" t="s">
        <v>1684</v>
      </c>
    </row>
    <row r="337" spans="1:10">
      <c r="A337" t="s">
        <v>57</v>
      </c>
      <c r="B337" t="s">
        <v>533</v>
      </c>
      <c r="C337">
        <v>54114</v>
      </c>
      <c r="D337" t="s">
        <v>279</v>
      </c>
      <c r="E337">
        <v>2021</v>
      </c>
      <c r="F337" s="15">
        <v>163104.08199999999</v>
      </c>
      <c r="G337" s="15">
        <v>2744580.8480000002</v>
      </c>
      <c r="H337" t="s">
        <v>235</v>
      </c>
      <c r="I337" s="609"/>
      <c r="J337" s="20" t="s">
        <v>1684</v>
      </c>
    </row>
    <row r="338" spans="1:10">
      <c r="A338" t="s">
        <v>57</v>
      </c>
      <c r="B338" t="s">
        <v>533</v>
      </c>
      <c r="C338">
        <v>54114</v>
      </c>
      <c r="D338" t="s">
        <v>280</v>
      </c>
      <c r="E338">
        <v>2021</v>
      </c>
      <c r="F338" s="15">
        <v>111882.621</v>
      </c>
      <c r="G338" s="15">
        <v>1882540.496</v>
      </c>
      <c r="H338" t="s">
        <v>235</v>
      </c>
      <c r="I338" s="609"/>
      <c r="J338" s="20" t="s">
        <v>1684</v>
      </c>
    </row>
    <row r="339" spans="1:10">
      <c r="A339" t="s">
        <v>57</v>
      </c>
      <c r="B339" t="s">
        <v>516</v>
      </c>
      <c r="C339">
        <v>54131</v>
      </c>
      <c r="D339" t="s">
        <v>517</v>
      </c>
      <c r="E339">
        <v>2021</v>
      </c>
      <c r="F339" s="15">
        <v>2845.4059999999999</v>
      </c>
      <c r="G339" s="15">
        <v>47874.803</v>
      </c>
      <c r="H339" t="s">
        <v>235</v>
      </c>
      <c r="I339" s="609"/>
      <c r="J339" s="20" t="s">
        <v>1684</v>
      </c>
    </row>
    <row r="340" spans="1:10">
      <c r="A340" t="s">
        <v>57</v>
      </c>
      <c r="B340" t="s">
        <v>1806</v>
      </c>
      <c r="C340">
        <v>54149</v>
      </c>
      <c r="D340">
        <v>1</v>
      </c>
      <c r="E340">
        <v>2021</v>
      </c>
      <c r="F340" s="15">
        <v>190426.18599999999</v>
      </c>
      <c r="G340" s="15">
        <v>3200977.7889999999</v>
      </c>
      <c r="H340" t="s">
        <v>232</v>
      </c>
      <c r="I340" s="609"/>
      <c r="J340" s="20" t="s">
        <v>1684</v>
      </c>
    </row>
    <row r="341" spans="1:10">
      <c r="A341" t="s">
        <v>57</v>
      </c>
      <c r="B341" t="s">
        <v>304</v>
      </c>
      <c r="C341">
        <v>54547</v>
      </c>
      <c r="D341">
        <v>1</v>
      </c>
      <c r="E341">
        <v>2021</v>
      </c>
      <c r="F341" s="15">
        <v>432247.11200000002</v>
      </c>
      <c r="G341" s="15">
        <v>7273390.7429999998</v>
      </c>
      <c r="H341" t="s">
        <v>235</v>
      </c>
      <c r="I341" s="609"/>
      <c r="J341" s="20" t="s">
        <v>1684</v>
      </c>
    </row>
    <row r="342" spans="1:10">
      <c r="A342" t="s">
        <v>57</v>
      </c>
      <c r="B342" t="s">
        <v>304</v>
      </c>
      <c r="C342">
        <v>54547</v>
      </c>
      <c r="D342">
        <v>2</v>
      </c>
      <c r="E342">
        <v>2021</v>
      </c>
      <c r="F342" s="15">
        <v>404066.60800000001</v>
      </c>
      <c r="G342" s="15">
        <v>6799236.7910000002</v>
      </c>
      <c r="H342" t="s">
        <v>235</v>
      </c>
      <c r="I342" s="609"/>
      <c r="J342" s="20" t="s">
        <v>1684</v>
      </c>
    </row>
    <row r="343" spans="1:10">
      <c r="A343" t="s">
        <v>57</v>
      </c>
      <c r="B343" t="s">
        <v>304</v>
      </c>
      <c r="C343">
        <v>54547</v>
      </c>
      <c r="D343">
        <v>3</v>
      </c>
      <c r="E343">
        <v>2021</v>
      </c>
      <c r="F343" s="15">
        <v>337466.7</v>
      </c>
      <c r="G343" s="15">
        <v>5678499.2520000003</v>
      </c>
      <c r="H343" t="s">
        <v>235</v>
      </c>
      <c r="I343" s="609"/>
      <c r="J343" s="20" t="s">
        <v>1684</v>
      </c>
    </row>
    <row r="344" spans="1:10">
      <c r="A344" t="s">
        <v>57</v>
      </c>
      <c r="B344" t="s">
        <v>304</v>
      </c>
      <c r="C344">
        <v>54547</v>
      </c>
      <c r="D344">
        <v>4</v>
      </c>
      <c r="E344">
        <v>2021</v>
      </c>
      <c r="F344" s="15">
        <v>330800.68300000002</v>
      </c>
      <c r="G344" s="15">
        <v>5566361.1270000003</v>
      </c>
      <c r="H344" t="s">
        <v>235</v>
      </c>
      <c r="I344" s="609"/>
      <c r="J344" s="20" t="s">
        <v>1684</v>
      </c>
    </row>
    <row r="345" spans="1:10">
      <c r="A345" t="s">
        <v>57</v>
      </c>
      <c r="B345" t="s">
        <v>544</v>
      </c>
      <c r="C345">
        <v>54574</v>
      </c>
      <c r="D345">
        <v>1</v>
      </c>
      <c r="E345">
        <v>2021</v>
      </c>
      <c r="F345" s="611">
        <v>20734.378000000001</v>
      </c>
      <c r="G345" s="15">
        <v>348892.12599999999</v>
      </c>
      <c r="H345" t="s">
        <v>235</v>
      </c>
      <c r="I345" s="609">
        <f>F345</f>
        <v>20734.378000000001</v>
      </c>
    </row>
    <row r="346" spans="1:10">
      <c r="A346" t="s">
        <v>57</v>
      </c>
      <c r="B346" t="s">
        <v>544</v>
      </c>
      <c r="C346">
        <v>54574</v>
      </c>
      <c r="D346">
        <v>2</v>
      </c>
      <c r="E346">
        <v>2021</v>
      </c>
      <c r="F346" s="611">
        <v>6339.1080000000002</v>
      </c>
      <c r="G346" s="15">
        <v>106674.00900000001</v>
      </c>
      <c r="H346" t="s">
        <v>235</v>
      </c>
      <c r="I346" s="609">
        <f>F346</f>
        <v>6339.1080000000002</v>
      </c>
    </row>
    <row r="347" spans="1:10">
      <c r="A347" t="s">
        <v>57</v>
      </c>
      <c r="B347" t="s">
        <v>305</v>
      </c>
      <c r="C347">
        <v>54592</v>
      </c>
      <c r="D347">
        <v>1</v>
      </c>
      <c r="E347">
        <v>2021</v>
      </c>
      <c r="F347" s="611">
        <v>8680.2119999999995</v>
      </c>
      <c r="G347" s="15">
        <v>146068.50399999999</v>
      </c>
      <c r="H347" t="s">
        <v>235</v>
      </c>
      <c r="I347" s="609">
        <f>F347</f>
        <v>8680.2119999999995</v>
      </c>
    </row>
    <row r="348" spans="1:10">
      <c r="A348" t="s">
        <v>57</v>
      </c>
      <c r="B348" t="s">
        <v>275</v>
      </c>
      <c r="C348">
        <v>54593</v>
      </c>
      <c r="D348">
        <v>1</v>
      </c>
      <c r="E348">
        <v>2021</v>
      </c>
      <c r="F348" s="611">
        <v>8985.5329999999994</v>
      </c>
      <c r="G348" s="15">
        <v>151249.59899999999</v>
      </c>
      <c r="H348" t="s">
        <v>235</v>
      </c>
      <c r="I348" s="609">
        <f>F348</f>
        <v>8985.5329999999994</v>
      </c>
      <c r="J348" s="20"/>
    </row>
    <row r="349" spans="1:10">
      <c r="A349" t="s">
        <v>57</v>
      </c>
      <c r="B349" t="s">
        <v>158</v>
      </c>
      <c r="C349">
        <v>54914</v>
      </c>
      <c r="D349">
        <v>1</v>
      </c>
      <c r="E349">
        <v>2021</v>
      </c>
      <c r="F349" s="15">
        <v>539531.92599999998</v>
      </c>
      <c r="G349" s="15">
        <v>9077897.2599999998</v>
      </c>
      <c r="H349" t="s">
        <v>235</v>
      </c>
      <c r="I349" s="609"/>
      <c r="J349" s="20" t="s">
        <v>1684</v>
      </c>
    </row>
    <row r="350" spans="1:10">
      <c r="A350" t="s">
        <v>57</v>
      </c>
      <c r="B350" t="s">
        <v>158</v>
      </c>
      <c r="C350">
        <v>54914</v>
      </c>
      <c r="D350">
        <v>2</v>
      </c>
      <c r="E350">
        <v>2021</v>
      </c>
      <c r="F350" s="15">
        <v>538981.96200000006</v>
      </c>
      <c r="G350" s="15">
        <v>9069381.1400000006</v>
      </c>
      <c r="H350" t="s">
        <v>235</v>
      </c>
      <c r="I350" s="609"/>
      <c r="J350" s="20" t="s">
        <v>1684</v>
      </c>
    </row>
    <row r="351" spans="1:10">
      <c r="A351" t="s">
        <v>57</v>
      </c>
      <c r="B351" t="s">
        <v>475</v>
      </c>
      <c r="C351">
        <v>55243</v>
      </c>
      <c r="D351" t="s">
        <v>476</v>
      </c>
      <c r="E351">
        <v>2021</v>
      </c>
      <c r="F351" s="611">
        <v>1439.6</v>
      </c>
      <c r="G351" s="15">
        <v>24229.599999999999</v>
      </c>
      <c r="H351" t="s">
        <v>232</v>
      </c>
      <c r="I351" s="609">
        <f>F351</f>
        <v>1439.6</v>
      </c>
      <c r="J351" s="20"/>
    </row>
    <row r="352" spans="1:10">
      <c r="A352" t="s">
        <v>57</v>
      </c>
      <c r="B352" t="s">
        <v>475</v>
      </c>
      <c r="C352">
        <v>55243</v>
      </c>
      <c r="D352" t="s">
        <v>477</v>
      </c>
      <c r="E352">
        <v>2021</v>
      </c>
      <c r="F352" s="611">
        <v>1439.6</v>
      </c>
      <c r="G352" s="15">
        <v>24229.599999999999</v>
      </c>
      <c r="H352" t="s">
        <v>232</v>
      </c>
      <c r="I352" s="609">
        <f t="shared" ref="I352:I400" si="11">F352</f>
        <v>1439.6</v>
      </c>
    </row>
    <row r="353" spans="1:10">
      <c r="A353" t="s">
        <v>57</v>
      </c>
      <c r="B353" t="s">
        <v>475</v>
      </c>
      <c r="C353">
        <v>55243</v>
      </c>
      <c r="D353" t="s">
        <v>478</v>
      </c>
      <c r="E353">
        <v>2021</v>
      </c>
      <c r="F353" s="611">
        <v>865.5</v>
      </c>
      <c r="G353" s="15">
        <v>14581.5</v>
      </c>
      <c r="H353" t="s">
        <v>232</v>
      </c>
      <c r="I353" s="609">
        <f t="shared" si="11"/>
        <v>865.5</v>
      </c>
    </row>
    <row r="354" spans="1:10">
      <c r="A354" t="s">
        <v>57</v>
      </c>
      <c r="B354" t="s">
        <v>475</v>
      </c>
      <c r="C354">
        <v>55243</v>
      </c>
      <c r="D354" t="s">
        <v>479</v>
      </c>
      <c r="E354">
        <v>2021</v>
      </c>
      <c r="F354" s="611">
        <v>865.5</v>
      </c>
      <c r="G354" s="15">
        <v>14581.5</v>
      </c>
      <c r="H354" t="s">
        <v>232</v>
      </c>
      <c r="I354" s="609">
        <f t="shared" si="11"/>
        <v>865.5</v>
      </c>
      <c r="J354" s="20"/>
    </row>
    <row r="355" spans="1:10">
      <c r="A355" t="s">
        <v>57</v>
      </c>
      <c r="B355" t="s">
        <v>475</v>
      </c>
      <c r="C355">
        <v>55243</v>
      </c>
      <c r="D355" t="s">
        <v>480</v>
      </c>
      <c r="E355">
        <v>2021</v>
      </c>
      <c r="F355" s="611">
        <v>1544.7</v>
      </c>
      <c r="G355" s="15">
        <v>26134.9</v>
      </c>
      <c r="H355" t="s">
        <v>232</v>
      </c>
      <c r="I355" s="609">
        <f t="shared" si="11"/>
        <v>1544.7</v>
      </c>
      <c r="J355" s="20"/>
    </row>
    <row r="356" spans="1:10">
      <c r="A356" t="s">
        <v>57</v>
      </c>
      <c r="B356" t="s">
        <v>475</v>
      </c>
      <c r="C356">
        <v>55243</v>
      </c>
      <c r="D356" t="s">
        <v>481</v>
      </c>
      <c r="E356">
        <v>2021</v>
      </c>
      <c r="F356" s="611">
        <v>1544.7</v>
      </c>
      <c r="G356" s="15">
        <v>26134.9</v>
      </c>
      <c r="H356" t="s">
        <v>232</v>
      </c>
      <c r="I356" s="609">
        <f t="shared" si="11"/>
        <v>1544.7</v>
      </c>
      <c r="J356" s="20"/>
    </row>
    <row r="357" spans="1:10">
      <c r="A357" t="s">
        <v>57</v>
      </c>
      <c r="B357" t="s">
        <v>475</v>
      </c>
      <c r="C357">
        <v>55243</v>
      </c>
      <c r="D357" t="s">
        <v>482</v>
      </c>
      <c r="E357">
        <v>2021</v>
      </c>
      <c r="F357" s="611">
        <v>1259.9000000000001</v>
      </c>
      <c r="G357" s="15">
        <v>21062.3</v>
      </c>
      <c r="H357" t="s">
        <v>232</v>
      </c>
      <c r="I357" s="609">
        <f t="shared" si="11"/>
        <v>1259.9000000000001</v>
      </c>
      <c r="J357" s="20"/>
    </row>
    <row r="358" spans="1:10">
      <c r="A358" t="s">
        <v>57</v>
      </c>
      <c r="B358" t="s">
        <v>475</v>
      </c>
      <c r="C358">
        <v>55243</v>
      </c>
      <c r="D358" t="s">
        <v>483</v>
      </c>
      <c r="E358">
        <v>2021</v>
      </c>
      <c r="F358" s="611">
        <v>1259.9000000000001</v>
      </c>
      <c r="G358" s="15">
        <v>21062.3</v>
      </c>
      <c r="H358" t="s">
        <v>232</v>
      </c>
      <c r="I358" s="609">
        <f t="shared" si="11"/>
        <v>1259.9000000000001</v>
      </c>
      <c r="J358" s="20"/>
    </row>
    <row r="359" spans="1:10">
      <c r="A359" t="s">
        <v>57</v>
      </c>
      <c r="B359" t="s">
        <v>475</v>
      </c>
      <c r="C359">
        <v>55243</v>
      </c>
      <c r="D359" t="s">
        <v>484</v>
      </c>
      <c r="E359">
        <v>2021</v>
      </c>
      <c r="F359" s="611">
        <v>901.4</v>
      </c>
      <c r="G359" s="15">
        <v>15266.7</v>
      </c>
      <c r="H359" t="s">
        <v>232</v>
      </c>
      <c r="I359" s="609">
        <f t="shared" si="11"/>
        <v>901.4</v>
      </c>
      <c r="J359" s="20"/>
    </row>
    <row r="360" spans="1:10">
      <c r="A360" t="s">
        <v>57</v>
      </c>
      <c r="B360" t="s">
        <v>475</v>
      </c>
      <c r="C360">
        <v>55243</v>
      </c>
      <c r="D360" t="s">
        <v>485</v>
      </c>
      <c r="E360">
        <v>2021</v>
      </c>
      <c r="F360" s="611">
        <v>901.4</v>
      </c>
      <c r="G360" s="15">
        <v>15266.7</v>
      </c>
      <c r="H360" t="s">
        <v>232</v>
      </c>
      <c r="I360" s="609">
        <f t="shared" si="11"/>
        <v>901.4</v>
      </c>
      <c r="J360" s="20"/>
    </row>
    <row r="361" spans="1:10">
      <c r="A361" t="s">
        <v>57</v>
      </c>
      <c r="B361" t="s">
        <v>475</v>
      </c>
      <c r="C361">
        <v>55243</v>
      </c>
      <c r="D361" t="s">
        <v>486</v>
      </c>
      <c r="E361">
        <v>2021</v>
      </c>
      <c r="F361" s="611">
        <v>1075.5</v>
      </c>
      <c r="G361" s="15">
        <v>18218.3</v>
      </c>
      <c r="H361" t="s">
        <v>232</v>
      </c>
      <c r="I361" s="609">
        <f t="shared" si="11"/>
        <v>1075.5</v>
      </c>
      <c r="J361" s="20"/>
    </row>
    <row r="362" spans="1:10">
      <c r="A362" t="s">
        <v>57</v>
      </c>
      <c r="B362" t="s">
        <v>475</v>
      </c>
      <c r="C362">
        <v>55243</v>
      </c>
      <c r="D362" t="s">
        <v>487</v>
      </c>
      <c r="E362">
        <v>2021</v>
      </c>
      <c r="F362" s="611">
        <v>1075.5</v>
      </c>
      <c r="G362" s="15">
        <v>18218.3</v>
      </c>
      <c r="H362" t="s">
        <v>232</v>
      </c>
      <c r="I362" s="609">
        <f t="shared" si="11"/>
        <v>1075.5</v>
      </c>
      <c r="J362" s="20"/>
    </row>
    <row r="363" spans="1:10">
      <c r="A363" t="s">
        <v>57</v>
      </c>
      <c r="B363" t="s">
        <v>475</v>
      </c>
      <c r="C363">
        <v>55243</v>
      </c>
      <c r="D363" t="s">
        <v>488</v>
      </c>
      <c r="E363">
        <v>2021</v>
      </c>
      <c r="F363" s="611">
        <v>1759.6</v>
      </c>
      <c r="G363" s="15">
        <v>28831.4</v>
      </c>
      <c r="H363" t="s">
        <v>232</v>
      </c>
      <c r="I363" s="609">
        <f t="shared" si="11"/>
        <v>1759.6</v>
      </c>
      <c r="J363" s="20"/>
    </row>
    <row r="364" spans="1:10">
      <c r="A364" t="s">
        <v>57</v>
      </c>
      <c r="B364" t="s">
        <v>475</v>
      </c>
      <c r="C364">
        <v>55243</v>
      </c>
      <c r="D364" t="s">
        <v>489</v>
      </c>
      <c r="E364">
        <v>2021</v>
      </c>
      <c r="F364" s="611">
        <v>1759.6</v>
      </c>
      <c r="G364" s="15">
        <v>28831.4</v>
      </c>
      <c r="H364" t="s">
        <v>232</v>
      </c>
      <c r="I364" s="609">
        <f t="shared" si="11"/>
        <v>1759.6</v>
      </c>
      <c r="J364" s="20"/>
    </row>
    <row r="365" spans="1:10">
      <c r="A365" t="s">
        <v>57</v>
      </c>
      <c r="B365" t="s">
        <v>475</v>
      </c>
      <c r="C365">
        <v>55243</v>
      </c>
      <c r="D365" t="s">
        <v>490</v>
      </c>
      <c r="E365">
        <v>2021</v>
      </c>
      <c r="F365" s="611">
        <v>2586</v>
      </c>
      <c r="G365" s="15">
        <v>43366.3</v>
      </c>
      <c r="H365" t="s">
        <v>232</v>
      </c>
      <c r="I365" s="609">
        <f t="shared" si="11"/>
        <v>2586</v>
      </c>
      <c r="J365" s="20"/>
    </row>
    <row r="366" spans="1:10">
      <c r="A366" t="s">
        <v>57</v>
      </c>
      <c r="B366" t="s">
        <v>475</v>
      </c>
      <c r="C366">
        <v>55243</v>
      </c>
      <c r="D366" t="s">
        <v>491</v>
      </c>
      <c r="E366">
        <v>2021</v>
      </c>
      <c r="F366" s="611">
        <v>2586</v>
      </c>
      <c r="G366" s="15">
        <v>43366.3</v>
      </c>
      <c r="H366" t="s">
        <v>232</v>
      </c>
      <c r="I366" s="609">
        <f t="shared" si="11"/>
        <v>2586</v>
      </c>
      <c r="J366" s="20"/>
    </row>
    <row r="367" spans="1:10">
      <c r="A367" t="s">
        <v>57</v>
      </c>
      <c r="B367" t="s">
        <v>475</v>
      </c>
      <c r="C367">
        <v>55243</v>
      </c>
      <c r="D367" t="s">
        <v>492</v>
      </c>
      <c r="E367">
        <v>2021</v>
      </c>
      <c r="F367" s="611">
        <v>1287.3</v>
      </c>
      <c r="G367" s="15">
        <v>20859.5</v>
      </c>
      <c r="H367" t="s">
        <v>232</v>
      </c>
      <c r="I367" s="609">
        <f t="shared" si="11"/>
        <v>1287.3</v>
      </c>
      <c r="J367" s="20"/>
    </row>
    <row r="368" spans="1:10">
      <c r="A368" t="s">
        <v>57</v>
      </c>
      <c r="B368" t="s">
        <v>475</v>
      </c>
      <c r="C368">
        <v>55243</v>
      </c>
      <c r="D368" t="s">
        <v>493</v>
      </c>
      <c r="E368">
        <v>2021</v>
      </c>
      <c r="F368" s="611">
        <v>1287.3</v>
      </c>
      <c r="G368" s="15">
        <v>20859.5</v>
      </c>
      <c r="H368" t="s">
        <v>232</v>
      </c>
      <c r="I368" s="609">
        <f t="shared" si="11"/>
        <v>1287.3</v>
      </c>
      <c r="J368" s="20"/>
    </row>
    <row r="369" spans="1:10">
      <c r="A369" t="s">
        <v>57</v>
      </c>
      <c r="B369" t="s">
        <v>475</v>
      </c>
      <c r="C369">
        <v>55243</v>
      </c>
      <c r="D369" t="s">
        <v>494</v>
      </c>
      <c r="E369">
        <v>2021</v>
      </c>
      <c r="F369" s="611">
        <v>1379.5</v>
      </c>
      <c r="G369" s="15">
        <v>22714.3</v>
      </c>
      <c r="H369" t="s">
        <v>232</v>
      </c>
      <c r="I369" s="609">
        <f t="shared" si="11"/>
        <v>1379.5</v>
      </c>
      <c r="J369" s="20"/>
    </row>
    <row r="370" spans="1:10">
      <c r="A370" t="s">
        <v>57</v>
      </c>
      <c r="B370" t="s">
        <v>475</v>
      </c>
      <c r="C370">
        <v>55243</v>
      </c>
      <c r="D370" t="s">
        <v>495</v>
      </c>
      <c r="E370">
        <v>2021</v>
      </c>
      <c r="F370" s="611">
        <v>1379.5</v>
      </c>
      <c r="G370" s="15">
        <v>22714.3</v>
      </c>
      <c r="H370" t="s">
        <v>232</v>
      </c>
      <c r="I370" s="609">
        <f t="shared" si="11"/>
        <v>1379.5</v>
      </c>
      <c r="J370" s="20"/>
    </row>
    <row r="371" spans="1:10">
      <c r="A371" t="s">
        <v>57</v>
      </c>
      <c r="B371" t="s">
        <v>475</v>
      </c>
      <c r="C371">
        <v>55243</v>
      </c>
      <c r="D371" t="s">
        <v>496</v>
      </c>
      <c r="E371">
        <v>2021</v>
      </c>
      <c r="F371" s="611">
        <v>1495.4</v>
      </c>
      <c r="G371" s="15">
        <v>25327.7</v>
      </c>
      <c r="H371" t="s">
        <v>232</v>
      </c>
      <c r="I371" s="609">
        <f t="shared" si="11"/>
        <v>1495.4</v>
      </c>
      <c r="J371" s="20"/>
    </row>
    <row r="372" spans="1:10">
      <c r="A372" t="s">
        <v>57</v>
      </c>
      <c r="B372" t="s">
        <v>475</v>
      </c>
      <c r="C372">
        <v>55243</v>
      </c>
      <c r="D372" t="s">
        <v>497</v>
      </c>
      <c r="E372">
        <v>2021</v>
      </c>
      <c r="F372" s="611">
        <v>1495.4</v>
      </c>
      <c r="G372" s="15">
        <v>25327.7</v>
      </c>
      <c r="H372" t="s">
        <v>232</v>
      </c>
      <c r="I372" s="609">
        <f t="shared" si="11"/>
        <v>1495.4</v>
      </c>
      <c r="J372" s="20"/>
    </row>
    <row r="373" spans="1:10">
      <c r="A373" t="s">
        <v>57</v>
      </c>
      <c r="B373" t="s">
        <v>475</v>
      </c>
      <c r="C373">
        <v>55243</v>
      </c>
      <c r="D373" t="s">
        <v>498</v>
      </c>
      <c r="E373">
        <v>2021</v>
      </c>
      <c r="F373" s="611">
        <v>766.4</v>
      </c>
      <c r="G373" s="15">
        <v>12903.5</v>
      </c>
      <c r="H373" t="s">
        <v>232</v>
      </c>
      <c r="I373" s="609">
        <f t="shared" si="11"/>
        <v>766.4</v>
      </c>
      <c r="J373" s="20"/>
    </row>
    <row r="374" spans="1:10">
      <c r="A374" t="s">
        <v>57</v>
      </c>
      <c r="B374" t="s">
        <v>475</v>
      </c>
      <c r="C374">
        <v>55243</v>
      </c>
      <c r="D374" t="s">
        <v>499</v>
      </c>
      <c r="E374">
        <v>2021</v>
      </c>
      <c r="F374" s="611">
        <v>766.4</v>
      </c>
      <c r="G374" s="15">
        <v>12903.5</v>
      </c>
      <c r="H374" t="s">
        <v>232</v>
      </c>
      <c r="I374" s="609">
        <f t="shared" si="11"/>
        <v>766.4</v>
      </c>
      <c r="J374" s="20"/>
    </row>
    <row r="375" spans="1:10">
      <c r="A375" t="s">
        <v>57</v>
      </c>
      <c r="B375" t="s">
        <v>182</v>
      </c>
      <c r="C375">
        <v>55375</v>
      </c>
      <c r="D375" t="s">
        <v>272</v>
      </c>
      <c r="E375">
        <v>2021</v>
      </c>
      <c r="F375" s="611">
        <v>641670.67500000005</v>
      </c>
      <c r="G375" s="15">
        <v>10796997.191</v>
      </c>
      <c r="H375" t="s">
        <v>235</v>
      </c>
      <c r="I375" s="609">
        <f t="shared" si="11"/>
        <v>641670.67500000005</v>
      </c>
      <c r="J375" s="20"/>
    </row>
    <row r="376" spans="1:10">
      <c r="A376" t="s">
        <v>57</v>
      </c>
      <c r="B376" t="s">
        <v>182</v>
      </c>
      <c r="C376">
        <v>55375</v>
      </c>
      <c r="D376" t="s">
        <v>273</v>
      </c>
      <c r="E376">
        <v>2021</v>
      </c>
      <c r="F376" s="611">
        <v>625244.54099999997</v>
      </c>
      <c r="G376" s="15">
        <v>10518749.799000001</v>
      </c>
      <c r="H376" t="s">
        <v>235</v>
      </c>
      <c r="I376" s="609">
        <f t="shared" si="11"/>
        <v>625244.54099999997</v>
      </c>
      <c r="J376" s="20"/>
    </row>
    <row r="377" spans="1:10">
      <c r="A377" t="s">
        <v>57</v>
      </c>
      <c r="B377" t="s">
        <v>182</v>
      </c>
      <c r="C377">
        <v>55375</v>
      </c>
      <c r="D377" t="s">
        <v>1095</v>
      </c>
      <c r="E377">
        <v>2021</v>
      </c>
      <c r="F377" s="611">
        <v>675713.6</v>
      </c>
      <c r="G377" s="15">
        <v>11357344.161</v>
      </c>
      <c r="H377" t="s">
        <v>235</v>
      </c>
      <c r="I377" s="609">
        <f t="shared" si="11"/>
        <v>675713.6</v>
      </c>
    </row>
    <row r="378" spans="1:10">
      <c r="A378" t="s">
        <v>57</v>
      </c>
      <c r="B378" t="s">
        <v>182</v>
      </c>
      <c r="C378">
        <v>55375</v>
      </c>
      <c r="D378" t="s">
        <v>1096</v>
      </c>
      <c r="E378">
        <v>2021</v>
      </c>
      <c r="F378" s="611">
        <v>630019.85600000003</v>
      </c>
      <c r="G378" s="15">
        <v>10581732.612</v>
      </c>
      <c r="H378" t="s">
        <v>235</v>
      </c>
      <c r="I378" s="609">
        <f t="shared" si="11"/>
        <v>630019.85600000003</v>
      </c>
      <c r="J378" s="20"/>
    </row>
    <row r="379" spans="1:10">
      <c r="A379" t="s">
        <v>57</v>
      </c>
      <c r="B379" t="s">
        <v>274</v>
      </c>
      <c r="C379">
        <v>55405</v>
      </c>
      <c r="D379">
        <v>1</v>
      </c>
      <c r="E379">
        <v>2021</v>
      </c>
      <c r="F379" s="611">
        <v>278845.304</v>
      </c>
      <c r="G379" s="15">
        <v>4692097.2149999999</v>
      </c>
      <c r="H379" t="s">
        <v>235</v>
      </c>
      <c r="I379" s="609">
        <f t="shared" si="11"/>
        <v>278845.304</v>
      </c>
      <c r="J379" s="20"/>
    </row>
    <row r="380" spans="1:10">
      <c r="A380" t="s">
        <v>57</v>
      </c>
      <c r="B380" t="s">
        <v>274</v>
      </c>
      <c r="C380">
        <v>55405</v>
      </c>
      <c r="D380">
        <v>2</v>
      </c>
      <c r="E380">
        <v>2021</v>
      </c>
      <c r="F380" s="611">
        <v>159606.27600000001</v>
      </c>
      <c r="G380" s="15">
        <v>2685689.0350000001</v>
      </c>
      <c r="H380" t="s">
        <v>235</v>
      </c>
      <c r="I380" s="609">
        <f t="shared" si="11"/>
        <v>159606.27600000001</v>
      </c>
      <c r="J380" s="20"/>
    </row>
    <row r="381" spans="1:10">
      <c r="A381" t="s">
        <v>57</v>
      </c>
      <c r="B381" t="s">
        <v>274</v>
      </c>
      <c r="C381">
        <v>55405</v>
      </c>
      <c r="D381">
        <v>3</v>
      </c>
      <c r="E381">
        <v>2021</v>
      </c>
      <c r="F381" s="611">
        <v>326525.32500000001</v>
      </c>
      <c r="G381" s="15">
        <v>5494434.5810000002</v>
      </c>
      <c r="H381" t="s">
        <v>235</v>
      </c>
      <c r="I381" s="609">
        <f t="shared" si="11"/>
        <v>326525.32500000001</v>
      </c>
      <c r="J381" s="20"/>
    </row>
    <row r="382" spans="1:10">
      <c r="A382" t="s">
        <v>57</v>
      </c>
      <c r="B382" t="s">
        <v>276</v>
      </c>
      <c r="C382">
        <v>55699</v>
      </c>
      <c r="D382">
        <v>1</v>
      </c>
      <c r="E382">
        <v>2021</v>
      </c>
      <c r="F382" s="611">
        <v>56600.447</v>
      </c>
      <c r="G382" s="15">
        <v>952407.83400000003</v>
      </c>
      <c r="H382" t="s">
        <v>232</v>
      </c>
      <c r="I382" s="609">
        <f t="shared" si="11"/>
        <v>56600.447</v>
      </c>
      <c r="J382" s="20"/>
    </row>
    <row r="383" spans="1:10">
      <c r="A383" t="s">
        <v>57</v>
      </c>
      <c r="B383" t="s">
        <v>276</v>
      </c>
      <c r="C383">
        <v>55699</v>
      </c>
      <c r="D383">
        <v>2</v>
      </c>
      <c r="E383">
        <v>2021</v>
      </c>
      <c r="F383" s="611">
        <v>24630.600999999999</v>
      </c>
      <c r="G383" s="15">
        <v>404191.34399999998</v>
      </c>
      <c r="H383" t="s">
        <v>232</v>
      </c>
      <c r="I383" s="609">
        <f t="shared" si="11"/>
        <v>24630.600999999999</v>
      </c>
      <c r="J383" s="20"/>
    </row>
    <row r="384" spans="1:10">
      <c r="A384" t="s">
        <v>57</v>
      </c>
      <c r="B384" t="s">
        <v>438</v>
      </c>
      <c r="C384">
        <v>55786</v>
      </c>
      <c r="D384" t="s">
        <v>249</v>
      </c>
      <c r="E384">
        <v>2021</v>
      </c>
      <c r="F384" s="611">
        <v>47244.749000000003</v>
      </c>
      <c r="G384" s="15">
        <v>794973.59100000001</v>
      </c>
      <c r="H384" t="s">
        <v>232</v>
      </c>
      <c r="I384" s="609">
        <f t="shared" si="11"/>
        <v>47244.749000000003</v>
      </c>
      <c r="J384" s="20"/>
    </row>
    <row r="385" spans="1:10">
      <c r="A385" t="s">
        <v>57</v>
      </c>
      <c r="B385" t="s">
        <v>438</v>
      </c>
      <c r="C385">
        <v>55786</v>
      </c>
      <c r="D385" t="s">
        <v>250</v>
      </c>
      <c r="E385">
        <v>2021</v>
      </c>
      <c r="F385" s="611">
        <v>38145.482000000004</v>
      </c>
      <c r="G385" s="15">
        <v>641884.201</v>
      </c>
      <c r="H385" t="s">
        <v>232</v>
      </c>
      <c r="I385" s="609">
        <f t="shared" si="11"/>
        <v>38145.482000000004</v>
      </c>
      <c r="J385" s="20"/>
    </row>
    <row r="386" spans="1:10">
      <c r="A386" t="s">
        <v>57</v>
      </c>
      <c r="B386" t="s">
        <v>440</v>
      </c>
      <c r="C386">
        <v>55787</v>
      </c>
      <c r="D386" t="s">
        <v>249</v>
      </c>
      <c r="E386">
        <v>2021</v>
      </c>
      <c r="F386" s="611">
        <v>10483.142</v>
      </c>
      <c r="G386" s="15">
        <v>129204.004</v>
      </c>
      <c r="H386" t="s">
        <v>232</v>
      </c>
      <c r="I386" s="609">
        <f t="shared" si="11"/>
        <v>10483.142</v>
      </c>
      <c r="J386" s="20"/>
    </row>
    <row r="387" spans="1:10">
      <c r="A387" t="s">
        <v>57</v>
      </c>
      <c r="B387" t="s">
        <v>440</v>
      </c>
      <c r="C387">
        <v>55787</v>
      </c>
      <c r="D387" t="s">
        <v>250</v>
      </c>
      <c r="E387">
        <v>2021</v>
      </c>
      <c r="F387" s="611">
        <v>9051.7630000000008</v>
      </c>
      <c r="G387" s="15">
        <v>111547.12</v>
      </c>
      <c r="H387" t="s">
        <v>232</v>
      </c>
      <c r="I387" s="609">
        <f t="shared" si="11"/>
        <v>9051.7630000000008</v>
      </c>
    </row>
    <row r="388" spans="1:10">
      <c r="A388" t="s">
        <v>57</v>
      </c>
      <c r="B388" t="s">
        <v>295</v>
      </c>
      <c r="C388">
        <v>55969</v>
      </c>
      <c r="D388" t="s">
        <v>296</v>
      </c>
      <c r="E388">
        <v>2021</v>
      </c>
      <c r="F388" s="611">
        <v>26808.199000000001</v>
      </c>
      <c r="G388" s="15">
        <v>330392.35600000003</v>
      </c>
      <c r="H388" t="s">
        <v>232</v>
      </c>
      <c r="I388" s="609">
        <f t="shared" si="11"/>
        <v>26808.199000000001</v>
      </c>
    </row>
    <row r="389" spans="1:10">
      <c r="A389" t="s">
        <v>57</v>
      </c>
      <c r="B389" t="s">
        <v>439</v>
      </c>
      <c r="C389">
        <v>56032</v>
      </c>
      <c r="D389">
        <v>1</v>
      </c>
      <c r="E389">
        <v>2021</v>
      </c>
      <c r="F389" s="611">
        <v>48729.506000000001</v>
      </c>
      <c r="G389" s="15">
        <v>819101.05799999996</v>
      </c>
      <c r="H389" t="s">
        <v>232</v>
      </c>
      <c r="I389" s="609">
        <f t="shared" si="11"/>
        <v>48729.506000000001</v>
      </c>
      <c r="J389" s="20"/>
    </row>
    <row r="390" spans="1:10">
      <c r="A390" t="s">
        <v>57</v>
      </c>
      <c r="B390" t="s">
        <v>307</v>
      </c>
      <c r="C390">
        <v>56188</v>
      </c>
      <c r="D390">
        <v>1</v>
      </c>
      <c r="E390">
        <v>2021</v>
      </c>
      <c r="F390" s="611">
        <v>51563.29</v>
      </c>
      <c r="G390" s="15">
        <v>871841.79599999997</v>
      </c>
      <c r="H390" t="s">
        <v>235</v>
      </c>
      <c r="I390" s="609">
        <f t="shared" si="11"/>
        <v>51563.29</v>
      </c>
      <c r="J390" s="20"/>
    </row>
    <row r="391" spans="1:10">
      <c r="A391" t="s">
        <v>57</v>
      </c>
      <c r="B391" t="s">
        <v>308</v>
      </c>
      <c r="C391">
        <v>56196</v>
      </c>
      <c r="D391" t="s">
        <v>309</v>
      </c>
      <c r="E391">
        <v>2021</v>
      </c>
      <c r="F391" s="611">
        <v>580949.61100000003</v>
      </c>
      <c r="G391" s="15">
        <v>9762250.3440000005</v>
      </c>
      <c r="H391" t="s">
        <v>235</v>
      </c>
      <c r="I391" s="609">
        <f t="shared" si="11"/>
        <v>580949.61100000003</v>
      </c>
    </row>
    <row r="392" spans="1:10">
      <c r="A392" t="s">
        <v>57</v>
      </c>
      <c r="B392" t="s">
        <v>308</v>
      </c>
      <c r="C392">
        <v>56196</v>
      </c>
      <c r="D392" t="s">
        <v>310</v>
      </c>
      <c r="E392">
        <v>2021</v>
      </c>
      <c r="F392" s="611">
        <v>593768.00399999996</v>
      </c>
      <c r="G392" s="15">
        <v>9981317.4220000003</v>
      </c>
      <c r="H392" t="s">
        <v>235</v>
      </c>
      <c r="I392" s="609">
        <f t="shared" si="11"/>
        <v>593768.00399999996</v>
      </c>
    </row>
    <row r="393" spans="1:10">
      <c r="A393" t="s">
        <v>57</v>
      </c>
      <c r="B393" t="s">
        <v>444</v>
      </c>
      <c r="C393">
        <v>56234</v>
      </c>
      <c r="D393">
        <v>1</v>
      </c>
      <c r="E393">
        <v>2021</v>
      </c>
      <c r="F393" s="611">
        <v>1030574.715</v>
      </c>
      <c r="G393" s="15">
        <v>17335339.534000002</v>
      </c>
      <c r="H393" t="s">
        <v>235</v>
      </c>
      <c r="I393" s="609">
        <f t="shared" si="11"/>
        <v>1030574.715</v>
      </c>
      <c r="J393" s="20"/>
    </row>
    <row r="394" spans="1:10">
      <c r="A394" s="675" t="s">
        <v>57</v>
      </c>
      <c r="B394" s="675" t="s">
        <v>2308</v>
      </c>
      <c r="C394" s="675">
        <v>56259</v>
      </c>
      <c r="D394" s="675" t="s">
        <v>1089</v>
      </c>
      <c r="E394" s="675">
        <v>2021</v>
      </c>
      <c r="F394" s="676">
        <v>763678.853</v>
      </c>
      <c r="G394" s="676">
        <v>12849676.075999999</v>
      </c>
      <c r="H394" s="675" t="s">
        <v>235</v>
      </c>
      <c r="I394" s="609"/>
      <c r="J394" s="20" t="s">
        <v>1684</v>
      </c>
    </row>
    <row r="395" spans="1:10">
      <c r="A395" s="675" t="s">
        <v>57</v>
      </c>
      <c r="B395" s="675" t="s">
        <v>2308</v>
      </c>
      <c r="C395" s="675">
        <v>56259</v>
      </c>
      <c r="D395" s="675" t="s">
        <v>1090</v>
      </c>
      <c r="E395" s="675">
        <v>2021</v>
      </c>
      <c r="F395" s="676">
        <v>761331.71699999995</v>
      </c>
      <c r="G395" s="676">
        <v>12810616.833000001</v>
      </c>
      <c r="H395" s="675" t="s">
        <v>235</v>
      </c>
      <c r="I395" s="609"/>
      <c r="J395" s="20" t="s">
        <v>1684</v>
      </c>
    </row>
    <row r="396" spans="1:10">
      <c r="A396" s="675" t="s">
        <v>57</v>
      </c>
      <c r="B396" s="675" t="s">
        <v>2309</v>
      </c>
      <c r="C396" s="675">
        <v>56940</v>
      </c>
      <c r="D396" s="675">
        <v>1</v>
      </c>
      <c r="E396" s="675">
        <v>2021</v>
      </c>
      <c r="F396" s="677">
        <v>898325.13399999996</v>
      </c>
      <c r="G396" s="676">
        <v>15116010.447000001</v>
      </c>
      <c r="H396" s="675" t="s">
        <v>235</v>
      </c>
      <c r="I396" s="609">
        <f t="shared" si="11"/>
        <v>898325.13399999996</v>
      </c>
      <c r="J396" s="20"/>
    </row>
    <row r="397" spans="1:10">
      <c r="A397" s="675" t="s">
        <v>57</v>
      </c>
      <c r="B397" s="675" t="s">
        <v>2309</v>
      </c>
      <c r="C397" s="675">
        <v>56940</v>
      </c>
      <c r="D397" s="675">
        <v>2</v>
      </c>
      <c r="E397" s="675">
        <v>2021</v>
      </c>
      <c r="F397" s="677">
        <v>871972.23699999996</v>
      </c>
      <c r="G397" s="676">
        <v>14672509.045</v>
      </c>
      <c r="H397" s="675" t="s">
        <v>235</v>
      </c>
      <c r="I397" s="609">
        <f t="shared" si="11"/>
        <v>871972.23699999996</v>
      </c>
    </row>
    <row r="398" spans="1:10">
      <c r="A398" s="675" t="s">
        <v>57</v>
      </c>
      <c r="B398" s="675" t="s">
        <v>3098</v>
      </c>
      <c r="C398" s="675">
        <v>57185</v>
      </c>
      <c r="D398" s="675" t="s">
        <v>3099</v>
      </c>
      <c r="E398" s="675">
        <v>2021</v>
      </c>
      <c r="F398" s="677">
        <v>649246.33400000003</v>
      </c>
      <c r="G398" s="676">
        <v>10923983.047</v>
      </c>
      <c r="H398" s="675" t="s">
        <v>235</v>
      </c>
      <c r="I398" s="609">
        <f t="shared" si="11"/>
        <v>649246.33400000003</v>
      </c>
      <c r="J398" s="20"/>
    </row>
    <row r="399" spans="1:10">
      <c r="A399" s="675" t="s">
        <v>57</v>
      </c>
      <c r="B399" s="675" t="s">
        <v>3098</v>
      </c>
      <c r="C399" s="675">
        <v>57185</v>
      </c>
      <c r="D399" s="675" t="s">
        <v>3100</v>
      </c>
      <c r="E399" s="675">
        <v>2021</v>
      </c>
      <c r="F399" s="677">
        <v>723304.37800000003</v>
      </c>
      <c r="G399" s="676">
        <v>12170953.814999999</v>
      </c>
      <c r="H399" s="675" t="s">
        <v>235</v>
      </c>
      <c r="I399" s="609">
        <f t="shared" si="11"/>
        <v>723304.37800000003</v>
      </c>
      <c r="J399" s="20"/>
    </row>
    <row r="400" spans="1:10">
      <c r="A400" s="675" t="s">
        <v>57</v>
      </c>
      <c r="B400" s="675" t="s">
        <v>3098</v>
      </c>
      <c r="C400" s="675">
        <v>57185</v>
      </c>
      <c r="D400" s="675" t="s">
        <v>3101</v>
      </c>
      <c r="E400" s="675">
        <v>2021</v>
      </c>
      <c r="F400" s="677">
        <v>704415.80599999998</v>
      </c>
      <c r="G400" s="676">
        <v>11853050.532</v>
      </c>
      <c r="H400" s="675" t="s">
        <v>235</v>
      </c>
      <c r="I400" s="609">
        <f t="shared" si="11"/>
        <v>704415.80599999998</v>
      </c>
      <c r="J400" s="20"/>
    </row>
    <row r="401" spans="1:9">
      <c r="A401" t="s">
        <v>131</v>
      </c>
      <c r="B401" t="s">
        <v>2310</v>
      </c>
      <c r="C401">
        <v>3236</v>
      </c>
      <c r="D401">
        <v>10</v>
      </c>
      <c r="E401">
        <v>2021</v>
      </c>
      <c r="F401" s="611">
        <v>196525.27499999999</v>
      </c>
      <c r="G401" s="15">
        <v>3307049.2749999999</v>
      </c>
      <c r="H401" t="s">
        <v>235</v>
      </c>
      <c r="I401" s="609">
        <f t="shared" ref="I401:I415" si="12">F401</f>
        <v>196525.27499999999</v>
      </c>
    </row>
    <row r="402" spans="1:9">
      <c r="A402" t="s">
        <v>131</v>
      </c>
      <c r="B402" t="s">
        <v>2310</v>
      </c>
      <c r="C402">
        <v>3236</v>
      </c>
      <c r="D402">
        <v>11</v>
      </c>
      <c r="E402">
        <v>2021</v>
      </c>
      <c r="F402" s="611">
        <v>257913.57500000001</v>
      </c>
      <c r="G402" s="15">
        <v>4348824.4249999998</v>
      </c>
      <c r="H402" t="s">
        <v>235</v>
      </c>
      <c r="I402" s="609">
        <f t="shared" si="12"/>
        <v>257913.57500000001</v>
      </c>
    </row>
    <row r="403" spans="1:9">
      <c r="A403" t="s">
        <v>131</v>
      </c>
      <c r="B403" t="s">
        <v>2310</v>
      </c>
      <c r="C403">
        <v>3236</v>
      </c>
      <c r="D403">
        <v>9</v>
      </c>
      <c r="E403">
        <v>2021</v>
      </c>
      <c r="F403" s="611">
        <v>251566.95</v>
      </c>
      <c r="G403" s="15">
        <v>4236774.2</v>
      </c>
      <c r="H403" t="s">
        <v>235</v>
      </c>
      <c r="I403" s="609">
        <f t="shared" si="12"/>
        <v>251566.95</v>
      </c>
    </row>
    <row r="404" spans="1:9">
      <c r="A404" t="s">
        <v>131</v>
      </c>
      <c r="B404" t="s">
        <v>134</v>
      </c>
      <c r="C404">
        <v>51030</v>
      </c>
      <c r="D404">
        <v>1</v>
      </c>
      <c r="E404">
        <v>2021</v>
      </c>
      <c r="F404" s="611">
        <v>259621.734</v>
      </c>
      <c r="G404" s="15">
        <v>4360633.5789999999</v>
      </c>
      <c r="H404" t="s">
        <v>235</v>
      </c>
      <c r="I404" s="609">
        <f t="shared" si="12"/>
        <v>259621.734</v>
      </c>
    </row>
    <row r="405" spans="1:9">
      <c r="A405" t="s">
        <v>131</v>
      </c>
      <c r="B405" t="s">
        <v>134</v>
      </c>
      <c r="C405">
        <v>51030</v>
      </c>
      <c r="D405">
        <v>2</v>
      </c>
      <c r="E405">
        <v>2021</v>
      </c>
      <c r="F405" s="611">
        <v>245539.299</v>
      </c>
      <c r="G405" s="15">
        <v>4122966.878</v>
      </c>
      <c r="H405" t="s">
        <v>235</v>
      </c>
      <c r="I405" s="609">
        <f t="shared" si="12"/>
        <v>245539.299</v>
      </c>
    </row>
    <row r="406" spans="1:9">
      <c r="A406" t="s">
        <v>131</v>
      </c>
      <c r="B406" t="s">
        <v>322</v>
      </c>
      <c r="C406">
        <v>54056</v>
      </c>
      <c r="D406">
        <v>1</v>
      </c>
      <c r="E406">
        <v>2021</v>
      </c>
      <c r="F406" s="611">
        <v>2424.7130000000002</v>
      </c>
      <c r="G406" s="15">
        <v>30019.115000000002</v>
      </c>
      <c r="H406" t="s">
        <v>235</v>
      </c>
      <c r="I406" s="609">
        <f t="shared" si="12"/>
        <v>2424.7130000000002</v>
      </c>
    </row>
    <row r="407" spans="1:9">
      <c r="A407" t="s">
        <v>131</v>
      </c>
      <c r="B407" t="s">
        <v>22</v>
      </c>
      <c r="C407">
        <v>54324</v>
      </c>
      <c r="D407">
        <v>3</v>
      </c>
      <c r="E407">
        <v>2021</v>
      </c>
      <c r="F407" s="611">
        <v>212910.367</v>
      </c>
      <c r="G407" s="15">
        <v>3578689.2319999998</v>
      </c>
      <c r="H407" t="s">
        <v>235</v>
      </c>
      <c r="I407" s="609">
        <f t="shared" si="12"/>
        <v>212910.367</v>
      </c>
    </row>
    <row r="408" spans="1:9">
      <c r="A408" t="s">
        <v>131</v>
      </c>
      <c r="B408" t="s">
        <v>22</v>
      </c>
      <c r="C408">
        <v>54324</v>
      </c>
      <c r="D408">
        <v>4</v>
      </c>
      <c r="E408">
        <v>2021</v>
      </c>
      <c r="F408" s="611">
        <v>219934.473</v>
      </c>
      <c r="G408" s="15">
        <v>3697875.5839999998</v>
      </c>
      <c r="H408" t="s">
        <v>235</v>
      </c>
      <c r="I408" s="609">
        <f t="shared" si="12"/>
        <v>219934.473</v>
      </c>
    </row>
    <row r="409" spans="1:9">
      <c r="A409" t="s">
        <v>131</v>
      </c>
      <c r="B409" t="s">
        <v>1172</v>
      </c>
      <c r="C409">
        <v>55048</v>
      </c>
      <c r="D409">
        <v>1</v>
      </c>
      <c r="E409">
        <v>2021</v>
      </c>
      <c r="F409" s="611">
        <v>641234.67200000002</v>
      </c>
      <c r="G409" s="15">
        <v>10790040.535</v>
      </c>
      <c r="H409" t="s">
        <v>235</v>
      </c>
      <c r="I409" s="609">
        <f t="shared" si="12"/>
        <v>641234.67200000002</v>
      </c>
    </row>
    <row r="410" spans="1:9">
      <c r="A410" t="s">
        <v>131</v>
      </c>
      <c r="B410" t="s">
        <v>1812</v>
      </c>
      <c r="C410">
        <v>55107</v>
      </c>
      <c r="D410" t="s">
        <v>323</v>
      </c>
      <c r="E410">
        <v>2021</v>
      </c>
      <c r="F410" s="611">
        <v>739940.21699999995</v>
      </c>
      <c r="G410" s="15">
        <v>12450905.847999999</v>
      </c>
      <c r="H410" t="s">
        <v>235</v>
      </c>
      <c r="I410" s="609">
        <f t="shared" si="12"/>
        <v>739940.21699999995</v>
      </c>
    </row>
    <row r="411" spans="1:9">
      <c r="A411" t="s">
        <v>131</v>
      </c>
      <c r="B411" t="s">
        <v>1812</v>
      </c>
      <c r="C411">
        <v>55107</v>
      </c>
      <c r="D411" t="s">
        <v>324</v>
      </c>
      <c r="E411">
        <v>2021</v>
      </c>
      <c r="F411" s="611">
        <v>753505.58100000001</v>
      </c>
      <c r="G411" s="15">
        <v>12679224.062999999</v>
      </c>
      <c r="H411" t="s">
        <v>235</v>
      </c>
      <c r="I411" s="609">
        <f t="shared" si="12"/>
        <v>753505.58100000001</v>
      </c>
    </row>
    <row r="412" spans="1:9">
      <c r="A412" t="s">
        <v>89</v>
      </c>
      <c r="B412" t="s">
        <v>556</v>
      </c>
      <c r="C412">
        <v>3734</v>
      </c>
      <c r="D412" t="s">
        <v>285</v>
      </c>
      <c r="E412">
        <v>2021</v>
      </c>
      <c r="F412" s="611">
        <v>1416.5</v>
      </c>
      <c r="G412" s="15">
        <v>17494.2</v>
      </c>
      <c r="H412" t="s">
        <v>232</v>
      </c>
      <c r="I412" s="609">
        <f t="shared" si="12"/>
        <v>1416.5</v>
      </c>
    </row>
    <row r="413" spans="1:9">
      <c r="A413" t="s">
        <v>89</v>
      </c>
      <c r="B413" t="s">
        <v>556</v>
      </c>
      <c r="C413">
        <v>3734</v>
      </c>
      <c r="D413" t="s">
        <v>286</v>
      </c>
      <c r="E413">
        <v>2021</v>
      </c>
      <c r="F413" s="611">
        <v>985.6</v>
      </c>
      <c r="G413" s="15">
        <v>12173.2</v>
      </c>
      <c r="H413" t="s">
        <v>232</v>
      </c>
      <c r="I413" s="609">
        <f t="shared" si="12"/>
        <v>985.6</v>
      </c>
    </row>
    <row r="414" spans="1:9">
      <c r="A414" t="s">
        <v>89</v>
      </c>
      <c r="B414" t="s">
        <v>2123</v>
      </c>
      <c r="C414">
        <v>3754</v>
      </c>
      <c r="D414" t="s">
        <v>272</v>
      </c>
      <c r="E414">
        <v>2021</v>
      </c>
      <c r="F414" s="611">
        <v>328.6</v>
      </c>
      <c r="G414" s="15">
        <v>4051</v>
      </c>
      <c r="H414" t="s">
        <v>232</v>
      </c>
      <c r="I414" s="609">
        <f t="shared" si="12"/>
        <v>328.6</v>
      </c>
    </row>
    <row r="415" spans="1:9">
      <c r="A415" t="s">
        <v>89</v>
      </c>
      <c r="B415" t="s">
        <v>2123</v>
      </c>
      <c r="C415">
        <v>3754</v>
      </c>
      <c r="D415" t="s">
        <v>273</v>
      </c>
      <c r="E415">
        <v>2021</v>
      </c>
      <c r="F415" s="611">
        <v>328.6</v>
      </c>
      <c r="G415" s="15">
        <v>4051</v>
      </c>
      <c r="H415" t="s">
        <v>232</v>
      </c>
      <c r="I415" s="609">
        <f t="shared" si="12"/>
        <v>328.6</v>
      </c>
    </row>
    <row r="416" spans="1:9">
      <c r="F416" s="15"/>
      <c r="G416" s="15"/>
      <c r="I416" s="609"/>
    </row>
    <row r="417" spans="1:11">
      <c r="F417" s="15"/>
      <c r="G417" s="15"/>
      <c r="I417" s="609"/>
    </row>
    <row r="418" spans="1:11">
      <c r="F418" s="15">
        <f>SUBTOTAL(9,F2:F415)</f>
        <v>52559126.013000011</v>
      </c>
      <c r="G418" s="15">
        <f>SUBTOTAL(9,G2:G415)</f>
        <v>872162979.07599938</v>
      </c>
      <c r="I418" s="609"/>
    </row>
    <row r="419" spans="1:11">
      <c r="F419" s="15"/>
      <c r="I419" s="609"/>
      <c r="J419" s="164"/>
    </row>
    <row r="420" spans="1:11" ht="13">
      <c r="F420" s="18" t="s">
        <v>327</v>
      </c>
      <c r="H420" s="40" t="s">
        <v>41</v>
      </c>
      <c r="I420" s="609">
        <f>SUMIF(A$2:A$415,"=CT",I$2:I$415)</f>
        <v>9873277.5200000014</v>
      </c>
      <c r="J420" s="153"/>
    </row>
    <row r="421" spans="1:11" ht="13">
      <c r="F421" s="18"/>
      <c r="H421" s="40" t="s">
        <v>81</v>
      </c>
      <c r="I421" s="609">
        <f>SUMIF(A$2:A$415,"=MA",I$2:I$415)</f>
        <v>5820953.7740000002</v>
      </c>
      <c r="J421" s="153"/>
    </row>
    <row r="422" spans="1:11" ht="13">
      <c r="A422" s="40" t="s">
        <v>2772</v>
      </c>
      <c r="F422" s="19"/>
      <c r="H422" s="40" t="s">
        <v>90</v>
      </c>
      <c r="I422" s="609">
        <f>SUMIF(A$2:A$415,"=ME",I$2:I$415)</f>
        <v>1165688.4350000001</v>
      </c>
      <c r="J422" s="153"/>
    </row>
    <row r="423" spans="1:11" ht="13">
      <c r="A423" t="s">
        <v>336</v>
      </c>
      <c r="C423" s="25"/>
      <c r="H423" s="40" t="s">
        <v>96</v>
      </c>
      <c r="I423" s="609">
        <f>SUMIF(A$2:A$415,"=NH",I$2:I$415)</f>
        <v>2291356.77</v>
      </c>
      <c r="J423" s="153"/>
    </row>
    <row r="424" spans="1:11" ht="13">
      <c r="A424" t="s">
        <v>335</v>
      </c>
      <c r="H424" s="40" t="s">
        <v>57</v>
      </c>
      <c r="I424" s="610">
        <f>SUMIF(A$2:A$415,"=NY",I$2:I$415)</f>
        <v>20076987.730000004</v>
      </c>
      <c r="J424" s="153"/>
      <c r="K424" s="106"/>
    </row>
    <row r="425" spans="1:11" ht="13">
      <c r="A425" s="20" t="s">
        <v>441</v>
      </c>
      <c r="H425" s="40" t="s">
        <v>131</v>
      </c>
      <c r="I425" s="609">
        <f>SUMIF(A$2:A$415,"=RI",I$2:I$415)</f>
        <v>3781116.8560000006</v>
      </c>
      <c r="J425" s="153"/>
    </row>
    <row r="426" spans="1:11" ht="13">
      <c r="B426" s="606" t="s">
        <v>3736</v>
      </c>
      <c r="H426" s="40" t="s">
        <v>89</v>
      </c>
      <c r="I426" s="609">
        <f>SUMIF(A$2:A$415,"=VT",I$2:I$415)</f>
        <v>3059.2999999999997</v>
      </c>
      <c r="J426" s="153"/>
    </row>
    <row r="427" spans="1:11" ht="13">
      <c r="H427" s="40" t="s">
        <v>190</v>
      </c>
      <c r="I427" s="609">
        <f>SUM(I420:I426)</f>
        <v>43012440.384999998</v>
      </c>
      <c r="J427" s="153"/>
    </row>
    <row r="428" spans="1:11" ht="13">
      <c r="H428" s="40"/>
      <c r="I428" s="609"/>
      <c r="J428" s="153"/>
    </row>
    <row r="429" spans="1:11" ht="13">
      <c r="B429" s="466" t="s">
        <v>3725</v>
      </c>
      <c r="H429" s="40"/>
      <c r="I429" s="609"/>
      <c r="J429" s="153"/>
    </row>
    <row r="430" spans="1:11" ht="13">
      <c r="A430" s="40" t="s">
        <v>3731</v>
      </c>
      <c r="H430" s="40"/>
      <c r="I430" s="609"/>
      <c r="J430" s="153"/>
    </row>
    <row r="431" spans="1:11">
      <c r="A431" s="675" t="s">
        <v>3735</v>
      </c>
      <c r="I431" s="609"/>
    </row>
    <row r="432" spans="1:11">
      <c r="A432" s="675" t="s">
        <v>3732</v>
      </c>
      <c r="I432" s="609"/>
    </row>
    <row r="433" spans="1:9">
      <c r="A433" s="675"/>
      <c r="I433" s="609"/>
    </row>
    <row r="434" spans="1:9" ht="13">
      <c r="B434" s="639">
        <v>2021</v>
      </c>
      <c r="C434" s="800" t="s">
        <v>3734</v>
      </c>
      <c r="D434" s="801"/>
      <c r="F434" s="798" t="s">
        <v>3722</v>
      </c>
      <c r="G434" s="799"/>
    </row>
    <row r="435" spans="1:9" ht="13">
      <c r="C435" s="2" t="s">
        <v>41</v>
      </c>
      <c r="D435" s="2" t="s">
        <v>81</v>
      </c>
      <c r="F435" s="748" t="s">
        <v>41</v>
      </c>
      <c r="G435" s="748" t="s">
        <v>81</v>
      </c>
    </row>
    <row r="436" spans="1:9" ht="13">
      <c r="B436" s="639" t="s">
        <v>209</v>
      </c>
      <c r="C436">
        <v>14701.5</v>
      </c>
      <c r="D436" s="609">
        <v>24180.249999999996</v>
      </c>
      <c r="F436" s="734">
        <f t="shared" ref="F436:G439" si="13">C436*$C$441</f>
        <v>32411259.447930001</v>
      </c>
      <c r="G436" s="736">
        <f>D436*$C$441</f>
        <v>53308326.107254997</v>
      </c>
    </row>
    <row r="437" spans="1:9" ht="13">
      <c r="B437" s="639" t="s">
        <v>210</v>
      </c>
      <c r="C437" s="609">
        <v>23002.62</v>
      </c>
      <c r="D437" s="609">
        <v>37831.695999999996</v>
      </c>
      <c r="F437" s="734">
        <f t="shared" si="13"/>
        <v>50712096.371264398</v>
      </c>
      <c r="G437" s="737">
        <f t="shared" si="13"/>
        <v>83404612.75456351</v>
      </c>
    </row>
    <row r="438" spans="1:9" ht="13">
      <c r="B438" s="639" t="s">
        <v>208</v>
      </c>
      <c r="C438">
        <v>715933.9</v>
      </c>
      <c r="D438">
        <v>1160617.2</v>
      </c>
      <c r="F438" s="734">
        <f t="shared" si="13"/>
        <v>1578364070.3648181</v>
      </c>
      <c r="G438" s="737">
        <f>D438*$C$441</f>
        <v>2558722932.281064</v>
      </c>
    </row>
    <row r="439" spans="1:9" ht="13">
      <c r="B439" s="639" t="s">
        <v>3721</v>
      </c>
      <c r="C439">
        <v>1079141.7</v>
      </c>
      <c r="D439">
        <v>1650492.3</v>
      </c>
      <c r="F439" s="735">
        <f t="shared" si="13"/>
        <v>2379100202.0052538</v>
      </c>
      <c r="G439" s="738">
        <f t="shared" si="13"/>
        <v>3638712658.715826</v>
      </c>
      <c r="H439" s="731"/>
    </row>
    <row r="440" spans="1:9" ht="13">
      <c r="B440" s="2"/>
      <c r="F440" s="749">
        <f>F438/(F438+F439)</f>
        <v>0.39883217174808688</v>
      </c>
      <c r="G440" s="749">
        <f>G438/(G438+G439)</f>
        <v>0.41286801528008782</v>
      </c>
      <c r="H440" s="751" t="s">
        <v>3723</v>
      </c>
    </row>
    <row r="441" spans="1:9" ht="13">
      <c r="B441" s="730" t="s">
        <v>3733</v>
      </c>
      <c r="C441" s="750">
        <v>2204.6226200000001</v>
      </c>
      <c r="F441" s="749">
        <f>F439/(F438+F439)</f>
        <v>0.60116782825191317</v>
      </c>
      <c r="G441" s="749">
        <f>G439/(G438+G439)</f>
        <v>0.58713198471991224</v>
      </c>
      <c r="H441" s="751" t="s">
        <v>3724</v>
      </c>
    </row>
  </sheetData>
  <autoFilter ref="A1:J415" xr:uid="{00000000-0009-0000-0000-000005000000}">
    <sortState xmlns:xlrd2="http://schemas.microsoft.com/office/spreadsheetml/2017/richdata2" ref="A2:J55">
      <sortCondition ref="C1:C415"/>
    </sortState>
  </autoFilter>
  <mergeCells count="2">
    <mergeCell ref="F434:G434"/>
    <mergeCell ref="C434:D434"/>
  </mergeCells>
  <phoneticPr fontId="7" type="noConversion"/>
  <hyperlinks>
    <hyperlink ref="B429" r:id="rId1" xr:uid="{6F285C4D-483C-48B8-8AED-CC740C5EFDF6}"/>
    <hyperlink ref="B426" r:id="rId2" xr:uid="{00000000-0004-0000-0500-000000000000}"/>
  </hyperlinks>
  <pageMargins left="0" right="0" top="1" bottom="1" header="0.5" footer="0.5"/>
  <pageSetup scale="43" fitToHeight="0" orientation="portrait" r:id="rId3"/>
  <headerFooter alignWithMargins="0">
    <oddFooter>&amp;R&amp;A 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theme="6" tint="0.39997558519241921"/>
    <pageSetUpPr fitToPage="1"/>
  </sheetPr>
  <dimension ref="A1:Q429"/>
  <sheetViews>
    <sheetView zoomScaleNormal="100" workbookViewId="0"/>
  </sheetViews>
  <sheetFormatPr defaultColWidth="8.81640625" defaultRowHeight="12.5"/>
  <cols>
    <col min="1" max="1" width="40.81640625" customWidth="1"/>
    <col min="2" max="2" width="21" customWidth="1"/>
    <col min="3" max="3" width="3.453125" customWidth="1"/>
    <col min="4" max="4" width="40.453125" customWidth="1"/>
    <col min="5" max="5" width="12.453125" customWidth="1"/>
    <col min="6" max="6" width="15" customWidth="1"/>
    <col min="7" max="7" width="3.453125" customWidth="1"/>
    <col min="8" max="8" width="17.453125" customWidth="1"/>
    <col min="9" max="9" width="3.453125" customWidth="1"/>
    <col min="10" max="10" width="12.453125" customWidth="1"/>
    <col min="11" max="11" width="16.453125" customWidth="1"/>
    <col min="12" max="12" width="3.453125" customWidth="1"/>
    <col min="13" max="13" width="12" customWidth="1"/>
    <col min="14" max="14" width="13.453125" customWidth="1"/>
    <col min="15" max="15" width="8.81640625" customWidth="1"/>
    <col min="16" max="16" width="26.453125" customWidth="1"/>
    <col min="17" max="17" width="26.81640625" customWidth="1"/>
  </cols>
  <sheetData>
    <row r="1" spans="1:14" ht="24" customHeight="1">
      <c r="A1" s="104" t="s">
        <v>2766</v>
      </c>
    </row>
    <row r="2" spans="1:14">
      <c r="A2" s="20" t="s">
        <v>2648</v>
      </c>
    </row>
    <row r="3" spans="1:14">
      <c r="A3" s="20" t="s">
        <v>3091</v>
      </c>
    </row>
    <row r="4" spans="1:14">
      <c r="A4" s="20" t="s">
        <v>2736</v>
      </c>
    </row>
    <row r="5" spans="1:14">
      <c r="A5" s="20"/>
    </row>
    <row r="6" spans="1:14">
      <c r="A6" s="20" t="s">
        <v>2639</v>
      </c>
    </row>
    <row r="7" spans="1:14">
      <c r="A7" s="20" t="s">
        <v>2697</v>
      </c>
    </row>
    <row r="8" spans="1:14">
      <c r="A8" s="20"/>
    </row>
    <row r="9" spans="1:14" ht="15.5">
      <c r="A9" s="249" t="s">
        <v>2735</v>
      </c>
    </row>
    <row r="10" spans="1:14">
      <c r="A10" s="20" t="s">
        <v>2759</v>
      </c>
    </row>
    <row r="11" spans="1:14">
      <c r="A11" s="20" t="s">
        <v>2760</v>
      </c>
    </row>
    <row r="12" spans="1:14">
      <c r="A12" s="20" t="s">
        <v>2761</v>
      </c>
    </row>
    <row r="13" spans="1:14">
      <c r="A13" s="25" t="s">
        <v>3684</v>
      </c>
    </row>
    <row r="14" spans="1:14" ht="13">
      <c r="A14" s="802" t="s">
        <v>1554</v>
      </c>
      <c r="B14" s="802"/>
      <c r="D14" s="791" t="s">
        <v>206</v>
      </c>
      <c r="E14" s="791"/>
      <c r="F14" s="791"/>
      <c r="G14" s="28"/>
      <c r="H14" s="791" t="s">
        <v>206</v>
      </c>
      <c r="I14" s="791"/>
      <c r="J14" s="791" t="s">
        <v>206</v>
      </c>
      <c r="K14" s="791"/>
      <c r="L14" s="28"/>
      <c r="M14" s="791" t="s">
        <v>206</v>
      </c>
      <c r="N14" s="791"/>
    </row>
    <row r="15" spans="1:14" ht="13">
      <c r="A15" s="802">
        <v>2021</v>
      </c>
      <c r="B15" s="802"/>
      <c r="D15" s="791" t="s">
        <v>207</v>
      </c>
      <c r="E15" s="791"/>
      <c r="F15" s="791"/>
      <c r="G15" s="78"/>
      <c r="H15" s="791" t="s">
        <v>208</v>
      </c>
      <c r="I15" s="791"/>
      <c r="J15" s="791" t="s">
        <v>209</v>
      </c>
      <c r="K15" s="791"/>
      <c r="L15" s="28"/>
      <c r="M15" s="791" t="s">
        <v>210</v>
      </c>
      <c r="N15" s="791"/>
    </row>
    <row r="16" spans="1:14" s="12" customFormat="1" ht="43.5" customHeight="1">
      <c r="A16" s="227"/>
      <c r="B16" s="228" t="s">
        <v>333</v>
      </c>
      <c r="D16" s="79" t="s">
        <v>211</v>
      </c>
      <c r="E16" s="79" t="s">
        <v>212</v>
      </c>
      <c r="F16" s="79" t="s">
        <v>2533</v>
      </c>
      <c r="G16" s="28"/>
      <c r="H16" s="66" t="s">
        <v>331</v>
      </c>
      <c r="I16" s="78"/>
      <c r="J16" s="66" t="s">
        <v>332</v>
      </c>
      <c r="K16" s="66" t="s">
        <v>333</v>
      </c>
      <c r="L16" s="78"/>
      <c r="M16" s="66" t="s">
        <v>334</v>
      </c>
      <c r="N16" s="66" t="s">
        <v>333</v>
      </c>
    </row>
    <row r="17" spans="1:14" s="12" customFormat="1" ht="15" customHeight="1">
      <c r="A17" s="229" t="s">
        <v>214</v>
      </c>
      <c r="B17" s="230">
        <f>SUM(B18:B22)</f>
        <v>-6835753.1749805436</v>
      </c>
      <c r="D17" s="66" t="s">
        <v>215</v>
      </c>
      <c r="E17" s="78"/>
      <c r="F17" s="66"/>
      <c r="G17" s="80"/>
      <c r="H17" s="78"/>
      <c r="I17" s="78"/>
      <c r="J17" s="78"/>
      <c r="K17" s="78"/>
      <c r="L17" s="78"/>
      <c r="M17" s="78"/>
      <c r="N17" s="78"/>
    </row>
    <row r="18" spans="1:14">
      <c r="A18" s="214" t="s">
        <v>1401</v>
      </c>
      <c r="B18" s="231">
        <f>H22</f>
        <v>-4089536.8586599305</v>
      </c>
      <c r="D18" s="81" t="s">
        <v>381</v>
      </c>
      <c r="E18" s="94" t="s">
        <v>46</v>
      </c>
      <c r="F18" s="95">
        <f>'GIS Heat Input'!H16</f>
        <v>-7506.885006502961</v>
      </c>
      <c r="G18" s="28"/>
      <c r="H18" s="80">
        <f>F18*'GWPs &amp; Fuel EFs'!$N$7</f>
        <v>-1227004.3089399303</v>
      </c>
      <c r="I18" s="28"/>
      <c r="J18" s="80">
        <f>F18*'GWPs &amp; Fuel EFs'!$M$35</f>
        <v>-49.649545473225821</v>
      </c>
      <c r="K18" s="80">
        <f>J18*'GWPs &amp; Fuel EFs'!$D$11</f>
        <v>-1241.2386368306454</v>
      </c>
      <c r="L18" s="28"/>
      <c r="M18" s="80">
        <f>F18*'GWPs &amp; Fuel EFs'!$M$63</f>
        <v>-9.9299090946451631</v>
      </c>
      <c r="N18" s="80">
        <f>M18*'GWPs &amp; Fuel EFs'!$E$11</f>
        <v>-2959.1129102042587</v>
      </c>
    </row>
    <row r="19" spans="1:14">
      <c r="A19" s="214" t="s">
        <v>216</v>
      </c>
      <c r="B19" s="231">
        <f>K21</f>
        <v>-12156.46092448046</v>
      </c>
      <c r="D19" s="81" t="s">
        <v>380</v>
      </c>
      <c r="E19" s="94" t="s">
        <v>39</v>
      </c>
      <c r="F19" s="95">
        <f>'GIS Heat Input'!H17</f>
        <v>-13902.26009120243</v>
      </c>
      <c r="G19" s="28"/>
      <c r="H19" s="80">
        <f>F19*'GWPs &amp; Fuel EFs'!$N$8</f>
        <v>-1621649.2059823307</v>
      </c>
      <c r="I19" s="28"/>
      <c r="J19" s="80">
        <f>F19*'GWPs &amp; Fuel EFs'!$M$36</f>
        <v>-30.649237066188139</v>
      </c>
      <c r="K19" s="80">
        <f>J19*'GWPs &amp; Fuel EFs'!$D$11</f>
        <v>-766.23092665470347</v>
      </c>
      <c r="L19" s="28"/>
      <c r="M19" s="80">
        <f>F19*'GWPs &amp; Fuel EFs'!$M$64</f>
        <v>-3.064923706618814</v>
      </c>
      <c r="N19" s="80">
        <f>M19*'GWPs &amp; Fuel EFs'!$E$11</f>
        <v>-913.34726457240652</v>
      </c>
    </row>
    <row r="20" spans="1:14">
      <c r="A20" s="214" t="s">
        <v>217</v>
      </c>
      <c r="B20" s="231">
        <f>N21</f>
        <v>-20002.590444518235</v>
      </c>
      <c r="D20" s="81" t="s">
        <v>394</v>
      </c>
      <c r="E20" s="94" t="s">
        <v>17</v>
      </c>
      <c r="F20" s="95">
        <f>'GIS Heat Input'!H18</f>
        <v>-6123.9030304015687</v>
      </c>
      <c r="G20" s="28"/>
      <c r="H20" s="80">
        <f>F20*'GWPs &amp; Fuel EFs'!$N$9</f>
        <v>-1240883.3437376693</v>
      </c>
      <c r="I20" s="28"/>
      <c r="J20" s="80">
        <f>F20*'GWPs &amp; Fuel EFs'!$M$37</f>
        <v>-405.95965443980441</v>
      </c>
      <c r="K20" s="80">
        <f>J20*'GWPs &amp; Fuel EFs'!$D$11</f>
        <v>-10148.991360995111</v>
      </c>
      <c r="L20" s="28"/>
      <c r="M20" s="80">
        <f>F20*'GWPs &amp; Fuel EFs'!$M$65</f>
        <v>-54.127953925307274</v>
      </c>
      <c r="N20" s="80">
        <f>M20*'GWPs &amp; Fuel EFs'!$E$11</f>
        <v>-16130.130269741569</v>
      </c>
    </row>
    <row r="21" spans="1:14">
      <c r="A21" s="214" t="s">
        <v>218</v>
      </c>
      <c r="B21" s="231">
        <f>K29</f>
        <v>-177747.65677231492</v>
      </c>
      <c r="D21" s="135" t="s">
        <v>3077</v>
      </c>
      <c r="E21" s="136" t="s">
        <v>3074</v>
      </c>
      <c r="F21" s="647" t="s">
        <v>3361</v>
      </c>
      <c r="G21" s="28"/>
      <c r="H21" s="143">
        <f>(-GIS!Q100)*'GWPs &amp; Fuel EFs'!$E$34</f>
        <v>0</v>
      </c>
      <c r="I21" s="28"/>
      <c r="J21" s="80"/>
      <c r="K21" s="83">
        <f>SUM(K18:K20)</f>
        <v>-12156.46092448046</v>
      </c>
      <c r="L21" s="28"/>
      <c r="M21" s="80"/>
      <c r="N21" s="83">
        <f>SUM(N18:N20)</f>
        <v>-20002.590444518235</v>
      </c>
    </row>
    <row r="22" spans="1:14">
      <c r="A22" s="214" t="s">
        <v>219</v>
      </c>
      <c r="B22" s="231">
        <f>N29</f>
        <v>-2536309.6081792996</v>
      </c>
      <c r="H22" s="83">
        <f>SUM(H18:H21)</f>
        <v>-4089536.8586599305</v>
      </c>
    </row>
    <row r="23" spans="1:14" ht="12" customHeight="1">
      <c r="A23" s="214"/>
      <c r="B23" s="214"/>
    </row>
    <row r="24" spans="1:14" ht="12.75" customHeight="1">
      <c r="A24" s="232" t="s">
        <v>220</v>
      </c>
      <c r="B24" s="230">
        <f>H29</f>
        <v>-32136342.0644047</v>
      </c>
      <c r="D24" s="66" t="s">
        <v>221</v>
      </c>
      <c r="E24" s="28"/>
      <c r="F24" s="28"/>
      <c r="G24" s="28"/>
      <c r="H24" s="83"/>
      <c r="I24" s="28"/>
      <c r="J24" s="80"/>
      <c r="K24" s="83"/>
      <c r="L24" s="28"/>
      <c r="M24" s="80"/>
      <c r="N24" s="83"/>
    </row>
    <row r="25" spans="1:14" ht="12.75" customHeight="1">
      <c r="A25" s="214"/>
      <c r="B25" s="214"/>
      <c r="D25" s="81" t="s">
        <v>388</v>
      </c>
      <c r="E25" s="94" t="s">
        <v>63</v>
      </c>
      <c r="F25" s="95">
        <f>'GIS Heat Input'!H20</f>
        <v>2372332.1037794137</v>
      </c>
      <c r="G25" s="28"/>
      <c r="H25" s="80">
        <f>F25*'GWPs &amp; Fuel EFs'!$N$20</f>
        <v>272331151.7347728</v>
      </c>
      <c r="I25" s="28"/>
      <c r="J25" s="80">
        <f>F25*'GWPs &amp; Fuel EFs'!$M$48</f>
        <v>16736.310458061707</v>
      </c>
      <c r="K25" s="80">
        <f>J25*'GWPs &amp; Fuel EFs'!$D$11</f>
        <v>418407.76145154267</v>
      </c>
      <c r="L25" s="28"/>
      <c r="M25" s="80">
        <f>F25*'GWPs &amp; Fuel EFs'!$M$76</f>
        <v>3294.9611214308979</v>
      </c>
      <c r="N25" s="80">
        <f>M25*'GWPs &amp; Fuel EFs'!$E$11</f>
        <v>981898.41418640758</v>
      </c>
    </row>
    <row r="26" spans="1:14" ht="12" customHeight="1">
      <c r="A26" s="214"/>
      <c r="B26" s="233"/>
      <c r="D26" s="81" t="s">
        <v>391</v>
      </c>
      <c r="E26" s="94" t="s">
        <v>16</v>
      </c>
      <c r="F26" s="95">
        <f>'GIS Heat Input'!H21</f>
        <v>-8708.6894779988233</v>
      </c>
      <c r="G26" s="28"/>
      <c r="H26" s="80">
        <f>F26*'GWPs &amp; Fuel EFs'!$N$21</f>
        <v>-1823077.0492682459</v>
      </c>
      <c r="I26" s="28"/>
      <c r="J26" s="80">
        <f>F26*'GWPs &amp; Fuel EFs'!$M$49</f>
        <v>-546.92311478047372</v>
      </c>
      <c r="K26" s="80">
        <f>J26*'GWPs &amp; Fuel EFs'!$D$11</f>
        <v>-13673.077869511842</v>
      </c>
      <c r="L26" s="28"/>
      <c r="M26" s="80">
        <f>F26*'GWPs &amp; Fuel EFs'!$M$77</f>
        <v>-72.923081970729839</v>
      </c>
      <c r="N26" s="80">
        <f>M26*'GWPs &amp; Fuel EFs'!$E$11</f>
        <v>-21731.078427277491</v>
      </c>
    </row>
    <row r="27" spans="1:14">
      <c r="A27" s="214"/>
      <c r="B27" s="214"/>
      <c r="D27" s="81" t="s">
        <v>396</v>
      </c>
      <c r="E27" s="94" t="s">
        <v>69</v>
      </c>
      <c r="F27" s="95">
        <f>'GIS Heat Input'!H22</f>
        <v>-1485184.1819213985</v>
      </c>
      <c r="G27" s="28"/>
      <c r="H27" s="80">
        <f>F27*'GWPs &amp; Fuel EFs'!$N$23</f>
        <v>-307126586.25056434</v>
      </c>
      <c r="I27" s="28"/>
      <c r="J27" s="80">
        <f>F27*'GWPs &amp; Fuel EFs'!$M$51</f>
        <v>-23574.748624776792</v>
      </c>
      <c r="K27" s="80">
        <f>J27*'GWPs &amp; Fuel EFs'!$D$11</f>
        <v>-589368.71561941982</v>
      </c>
      <c r="L27" s="28"/>
      <c r="M27" s="80">
        <f>F27*'GWPs &amp; Fuel EFs'!$M$79</f>
        <v>-11787.374312388396</v>
      </c>
      <c r="N27" s="80">
        <f>M27*'GWPs &amp; Fuel EFs'!$E$11</f>
        <v>-3512637.5450917422</v>
      </c>
    </row>
    <row r="28" spans="1:14">
      <c r="A28" s="214"/>
      <c r="B28" s="214"/>
      <c r="D28" s="81" t="s">
        <v>2287</v>
      </c>
      <c r="E28" s="94" t="s">
        <v>68</v>
      </c>
      <c r="F28" s="95">
        <f>'GIS Heat Input'!H23</f>
        <v>39045.09099767189</v>
      </c>
      <c r="G28" s="28"/>
      <c r="H28" s="80">
        <f>F28*'GWPs &amp; Fuel EFs'!$N$27</f>
        <v>4482169.5006550821</v>
      </c>
      <c r="I28" s="28"/>
      <c r="J28" s="80">
        <f>F28*'GWPs &amp; Fuel EFs'!$M$55</f>
        <v>275.4550106029626</v>
      </c>
      <c r="K28" s="80">
        <f>J28*'GWPs &amp; Fuel EFs'!$D$11</f>
        <v>6886.3752650740653</v>
      </c>
      <c r="L28" s="28"/>
      <c r="M28" s="80">
        <f>F28*'GWPs &amp; Fuel EFs'!$M$83</f>
        <v>54.230205212458259</v>
      </c>
      <c r="N28" s="80">
        <f>M28*'GWPs &amp; Fuel EFs'!$E$11</f>
        <v>16160.60115331256</v>
      </c>
    </row>
    <row r="29" spans="1:14">
      <c r="A29" s="234"/>
      <c r="B29" s="235"/>
      <c r="D29" s="28"/>
      <c r="E29" s="28"/>
      <c r="F29" s="80"/>
      <c r="G29" s="28"/>
      <c r="H29" s="83">
        <f>SUM(H25:H28)</f>
        <v>-32136342.0644047</v>
      </c>
      <c r="I29" s="28"/>
      <c r="J29" s="28"/>
      <c r="K29" s="83">
        <f>SUM(K25:K28)</f>
        <v>-177747.65677231492</v>
      </c>
      <c r="L29" s="28"/>
      <c r="M29" s="28"/>
      <c r="N29" s="83">
        <f>SUM(N25:N28)</f>
        <v>-2536309.6081792996</v>
      </c>
    </row>
    <row r="30" spans="1:14">
      <c r="A30" s="234"/>
      <c r="B30" s="235"/>
    </row>
    <row r="31" spans="1:14">
      <c r="A31" s="13"/>
      <c r="B31" s="13"/>
      <c r="D31" s="84"/>
      <c r="E31" s="84"/>
      <c r="F31" s="84"/>
      <c r="G31" s="28"/>
      <c r="H31" s="84"/>
      <c r="I31" s="28"/>
      <c r="J31" s="84"/>
      <c r="K31" s="84"/>
      <c r="L31" s="28"/>
      <c r="M31" s="84"/>
      <c r="N31" s="84"/>
    </row>
    <row r="32" spans="1:14" ht="13">
      <c r="A32" s="802" t="s">
        <v>1555</v>
      </c>
      <c r="B32" s="802"/>
      <c r="D32" s="791" t="s">
        <v>226</v>
      </c>
      <c r="E32" s="791"/>
      <c r="F32" s="791"/>
      <c r="G32" s="28"/>
      <c r="H32" s="77" t="s">
        <v>226</v>
      </c>
      <c r="I32" s="28"/>
      <c r="J32" s="791" t="s">
        <v>226</v>
      </c>
      <c r="K32" s="791"/>
      <c r="L32" s="28"/>
      <c r="M32" s="791" t="s">
        <v>226</v>
      </c>
      <c r="N32" s="791"/>
    </row>
    <row r="33" spans="1:14" ht="13">
      <c r="A33" s="802">
        <f>A15</f>
        <v>2021</v>
      </c>
      <c r="B33" s="802"/>
      <c r="D33" s="791" t="s">
        <v>207</v>
      </c>
      <c r="E33" s="791"/>
      <c r="F33" s="791"/>
      <c r="G33" s="28"/>
      <c r="H33" s="77" t="s">
        <v>208</v>
      </c>
      <c r="I33" s="28"/>
      <c r="J33" s="791" t="s">
        <v>209</v>
      </c>
      <c r="K33" s="791"/>
      <c r="L33" s="28"/>
      <c r="M33" s="791" t="s">
        <v>210</v>
      </c>
      <c r="N33" s="791"/>
    </row>
    <row r="34" spans="1:14" s="12" customFormat="1" ht="45" customHeight="1">
      <c r="A34" s="227"/>
      <c r="B34" s="228" t="s">
        <v>333</v>
      </c>
      <c r="D34" s="79" t="s">
        <v>211</v>
      </c>
      <c r="E34" s="79" t="s">
        <v>212</v>
      </c>
      <c r="F34" s="79" t="str">
        <f>F16</f>
        <v>Heat Input from GIS certificates (MMBtu)</v>
      </c>
      <c r="G34" s="28"/>
      <c r="H34" s="66" t="s">
        <v>331</v>
      </c>
      <c r="I34" s="78"/>
      <c r="J34" s="66" t="s">
        <v>332</v>
      </c>
      <c r="K34" s="66" t="s">
        <v>333</v>
      </c>
      <c r="L34" s="78"/>
      <c r="M34" s="66" t="s">
        <v>334</v>
      </c>
      <c r="N34" s="66" t="s">
        <v>333</v>
      </c>
    </row>
    <row r="35" spans="1:14" ht="12.75" customHeight="1">
      <c r="A35" s="229" t="s">
        <v>214</v>
      </c>
      <c r="B35" s="230">
        <f>SUM(B36:B40)</f>
        <v>82523635.431514114</v>
      </c>
      <c r="D35" s="66" t="s">
        <v>215</v>
      </c>
      <c r="E35" s="66"/>
      <c r="F35" s="66"/>
      <c r="G35" s="28"/>
      <c r="H35" s="28"/>
      <c r="I35" s="28"/>
      <c r="J35" s="78"/>
      <c r="K35" s="78"/>
      <c r="L35" s="28"/>
      <c r="M35" s="78"/>
      <c r="N35" s="78"/>
    </row>
    <row r="36" spans="1:14">
      <c r="A36" s="214" t="s">
        <v>1401</v>
      </c>
      <c r="B36" s="231">
        <f>H40</f>
        <v>15340179.4</v>
      </c>
      <c r="D36" s="81" t="s">
        <v>381</v>
      </c>
      <c r="E36" s="94" t="s">
        <v>46</v>
      </c>
      <c r="F36" s="95">
        <f>'GIS Heat Input'!H28</f>
        <v>0</v>
      </c>
      <c r="G36" s="28"/>
      <c r="H36" s="80">
        <f>F36*'GWPs &amp; Fuel EFs'!$N$7</f>
        <v>0</v>
      </c>
      <c r="I36" s="28"/>
      <c r="J36" s="80">
        <f>F36*'GWPs &amp; Fuel EFs'!$M$35</f>
        <v>0</v>
      </c>
      <c r="K36" s="80">
        <f>J36*'GWPs &amp; Fuel EFs'!$D$11</f>
        <v>0</v>
      </c>
      <c r="L36" s="28"/>
      <c r="M36" s="80">
        <f>F36*'GWPs &amp; Fuel EFs'!$M$63</f>
        <v>0</v>
      </c>
      <c r="N36" s="80">
        <f>M36*'GWPs &amp; Fuel EFs'!$E$11</f>
        <v>0</v>
      </c>
    </row>
    <row r="37" spans="1:14">
      <c r="A37" s="214" t="s">
        <v>216</v>
      </c>
      <c r="B37" s="231">
        <f>K39</f>
        <v>0</v>
      </c>
      <c r="D37" s="81" t="s">
        <v>380</v>
      </c>
      <c r="E37" s="94" t="s">
        <v>39</v>
      </c>
      <c r="F37" s="95">
        <f>'GIS Heat Input'!H29</f>
        <v>0</v>
      </c>
      <c r="G37" s="28"/>
      <c r="H37" s="80">
        <f>F37*'GWPs &amp; Fuel EFs'!$N$8</f>
        <v>0</v>
      </c>
      <c r="I37" s="28"/>
      <c r="J37" s="80">
        <f>F37*'GWPs &amp; Fuel EFs'!$M$36</f>
        <v>0</v>
      </c>
      <c r="K37" s="80">
        <f>J37*'GWPs &amp; Fuel EFs'!$D$11</f>
        <v>0</v>
      </c>
      <c r="L37" s="28"/>
      <c r="M37" s="80">
        <f>F37*'GWPs &amp; Fuel EFs'!$M$64</f>
        <v>0</v>
      </c>
      <c r="N37" s="80">
        <f>M37*'GWPs &amp; Fuel EFs'!$E$11</f>
        <v>0</v>
      </c>
    </row>
    <row r="38" spans="1:14">
      <c r="A38" s="214" t="s">
        <v>217</v>
      </c>
      <c r="B38" s="231">
        <f>N39</f>
        <v>0</v>
      </c>
      <c r="D38" s="81" t="s">
        <v>394</v>
      </c>
      <c r="E38" s="94" t="s">
        <v>17</v>
      </c>
      <c r="F38" s="95">
        <f>'GIS Heat Input'!H30</f>
        <v>0</v>
      </c>
      <c r="G38" s="28"/>
      <c r="H38" s="80">
        <f>F38*'GWPs &amp; Fuel EFs'!$N$9</f>
        <v>0</v>
      </c>
      <c r="I38" s="28"/>
      <c r="J38" s="80">
        <f>F38*'GWPs &amp; Fuel EFs'!$M$37</f>
        <v>0</v>
      </c>
      <c r="K38" s="80">
        <f>J38*'GWPs &amp; Fuel EFs'!$D$11</f>
        <v>0</v>
      </c>
      <c r="L38" s="28"/>
      <c r="M38" s="80">
        <f>F38*'GWPs &amp; Fuel EFs'!$M$65</f>
        <v>0</v>
      </c>
      <c r="N38" s="80">
        <f>M38*'GWPs &amp; Fuel EFs'!$E$11</f>
        <v>0</v>
      </c>
    </row>
    <row r="39" spans="1:14">
      <c r="A39" s="214" t="s">
        <v>218</v>
      </c>
      <c r="B39" s="231">
        <f>K47</f>
        <v>10299945.485513382</v>
      </c>
      <c r="D39" s="135" t="s">
        <v>3077</v>
      </c>
      <c r="E39" s="136" t="s">
        <v>3074</v>
      </c>
      <c r="F39" s="647" t="s">
        <v>3361</v>
      </c>
      <c r="G39" s="28"/>
      <c r="H39" s="143">
        <f>(GIS!S100-GIS!W75)*'GWPs &amp; Fuel EFs'!$E$34</f>
        <v>15340179.4</v>
      </c>
      <c r="I39" s="28"/>
      <c r="J39" s="80"/>
      <c r="K39" s="83">
        <f>SUM(K36:K38)</f>
        <v>0</v>
      </c>
      <c r="L39" s="28"/>
      <c r="M39" s="80"/>
      <c r="N39" s="83">
        <f>SUM(N36:N38)</f>
        <v>0</v>
      </c>
    </row>
    <row r="40" spans="1:14">
      <c r="A40" s="214" t="s">
        <v>219</v>
      </c>
      <c r="B40" s="231">
        <f>N47</f>
        <v>56883510.546000734</v>
      </c>
      <c r="H40" s="83">
        <f>SUM(H36:H39)</f>
        <v>15340179.4</v>
      </c>
    </row>
    <row r="41" spans="1:14">
      <c r="A41" s="214"/>
      <c r="B41" s="214"/>
    </row>
    <row r="42" spans="1:14" ht="13">
      <c r="A42" s="232" t="s">
        <v>220</v>
      </c>
      <c r="B42" s="230">
        <f>H47</f>
        <v>5529175645.5280714</v>
      </c>
      <c r="D42" s="66" t="s">
        <v>221</v>
      </c>
      <c r="E42" s="28"/>
      <c r="F42" s="80"/>
      <c r="G42" s="28"/>
      <c r="H42" s="83"/>
      <c r="I42" s="28"/>
      <c r="J42" s="80"/>
      <c r="K42" s="83"/>
      <c r="L42" s="28"/>
      <c r="M42" s="80"/>
      <c r="N42" s="83"/>
    </row>
    <row r="43" spans="1:14">
      <c r="A43" s="214"/>
      <c r="B43" s="214"/>
      <c r="D43" s="81" t="s">
        <v>388</v>
      </c>
      <c r="E43" s="94" t="s">
        <v>63</v>
      </c>
      <c r="F43" s="95">
        <f>'GIS Heat Input'!H32</f>
        <v>7040118.933019626</v>
      </c>
      <c r="G43" s="28"/>
      <c r="H43" s="80">
        <f>F43*'GWPs &amp; Fuel EFs'!$N$20</f>
        <v>808168339.63702297</v>
      </c>
      <c r="I43" s="28"/>
      <c r="J43" s="80">
        <f>F43*'GWPs &amp; Fuel EFs'!$M$48</f>
        <v>49666.577431121063</v>
      </c>
      <c r="K43" s="80">
        <f>J43*'GWPs &amp; Fuel EFs'!$D$11</f>
        <v>1241664.4357780265</v>
      </c>
      <c r="L43" s="28"/>
      <c r="M43" s="80">
        <f>F43*'GWPs &amp; Fuel EFs'!$M$76</f>
        <v>9778.1074317519578</v>
      </c>
      <c r="N43" s="80">
        <f>M43*'GWPs &amp; Fuel EFs'!$E$11</f>
        <v>2913876.0146620832</v>
      </c>
    </row>
    <row r="44" spans="1:14">
      <c r="A44" s="214"/>
      <c r="B44" s="233"/>
      <c r="D44" s="81" t="s">
        <v>391</v>
      </c>
      <c r="E44" s="94" t="s">
        <v>16</v>
      </c>
      <c r="F44" s="95">
        <f>'GIS Heat Input'!H33</f>
        <v>0</v>
      </c>
      <c r="G44" s="28"/>
      <c r="H44" s="80">
        <f>F44*'GWPs &amp; Fuel EFs'!$N$21</f>
        <v>0</v>
      </c>
      <c r="I44" s="28"/>
      <c r="J44" s="80">
        <f>F44*'GWPs &amp; Fuel EFs'!$M$49</f>
        <v>0</v>
      </c>
      <c r="K44" s="80">
        <f>J44*'GWPs &amp; Fuel EFs'!$D$11</f>
        <v>0</v>
      </c>
      <c r="L44" s="28"/>
      <c r="M44" s="80">
        <f>F44*'GWPs &amp; Fuel EFs'!$M$77</f>
        <v>0</v>
      </c>
      <c r="N44" s="80">
        <f>M44*'GWPs &amp; Fuel EFs'!$E$11</f>
        <v>0</v>
      </c>
    </row>
    <row r="45" spans="1:14">
      <c r="A45" s="214"/>
      <c r="B45" s="214"/>
      <c r="D45" s="81" t="s">
        <v>396</v>
      </c>
      <c r="E45" s="94" t="s">
        <v>69</v>
      </c>
      <c r="F45" s="95">
        <f>'GIS Heat Input'!H34</f>
        <v>22814125.621870082</v>
      </c>
      <c r="G45" s="28"/>
      <c r="H45" s="80">
        <f>F45*'GWPs &amp; Fuel EFs'!$N$23</f>
        <v>4717815208.2603569</v>
      </c>
      <c r="I45" s="28"/>
      <c r="J45" s="80">
        <f>F45*'GWPs &amp; Fuel EFs'!$M$51</f>
        <v>362135.06929077371</v>
      </c>
      <c r="K45" s="80">
        <f>J45*'GWPs &amp; Fuel EFs'!$D$11</f>
        <v>9053376.732269343</v>
      </c>
      <c r="L45" s="28"/>
      <c r="M45" s="80">
        <f>F45*'GWPs &amp; Fuel EFs'!$M$79</f>
        <v>181067.53464538686</v>
      </c>
      <c r="N45" s="80">
        <f>M45*'GWPs &amp; Fuel EFs'!$E$11</f>
        <v>53958125.324325286</v>
      </c>
    </row>
    <row r="46" spans="1:14">
      <c r="A46" s="214"/>
      <c r="B46" s="214"/>
      <c r="D46" s="81" t="s">
        <v>2287</v>
      </c>
      <c r="E46" s="94" t="s">
        <v>68</v>
      </c>
      <c r="F46" s="95">
        <f>'GIS Heat Input'!H35</f>
        <v>27807.01230633683</v>
      </c>
      <c r="G46" s="28"/>
      <c r="H46" s="80">
        <f>F46*'GWPs &amp; Fuel EFs'!$N$27</f>
        <v>3192097.630691526</v>
      </c>
      <c r="I46" s="28"/>
      <c r="J46" s="80">
        <f>F46*'GWPs &amp; Fuel EFs'!$M$55</f>
        <v>196.17269864053935</v>
      </c>
      <c r="K46" s="80">
        <f>J46*'GWPs &amp; Fuel EFs'!$D$11</f>
        <v>4904.3174660134837</v>
      </c>
      <c r="L46" s="28"/>
      <c r="M46" s="80">
        <f>F46*'GWPs &amp; Fuel EFs'!$M$83</f>
        <v>38.621500044856184</v>
      </c>
      <c r="N46" s="80">
        <f>M46*'GWPs &amp; Fuel EFs'!$E$11</f>
        <v>11509.207013367142</v>
      </c>
    </row>
    <row r="47" spans="1:14">
      <c r="A47" s="214"/>
      <c r="B47" s="231"/>
      <c r="D47" s="28"/>
      <c r="E47" s="28"/>
      <c r="F47" s="80"/>
      <c r="G47" s="28"/>
      <c r="H47" s="83">
        <f>SUM(H43:H46)</f>
        <v>5529175645.5280714</v>
      </c>
      <c r="I47" s="28"/>
      <c r="J47" s="28"/>
      <c r="K47" s="83">
        <f>SUM(K43:K46)</f>
        <v>10299945.485513382</v>
      </c>
      <c r="L47" s="28"/>
      <c r="M47" s="28"/>
      <c r="N47" s="83">
        <f>SUM(N43:N46)</f>
        <v>56883510.546000734</v>
      </c>
    </row>
    <row r="48" spans="1:14">
      <c r="A48" s="214"/>
      <c r="B48" s="214"/>
    </row>
    <row r="49" spans="1:14">
      <c r="A49" s="13"/>
      <c r="B49" s="13"/>
      <c r="D49" s="84"/>
      <c r="E49" s="84"/>
      <c r="F49" s="84"/>
      <c r="G49" s="28"/>
      <c r="H49" s="84"/>
      <c r="I49" s="28"/>
      <c r="J49" s="84"/>
      <c r="K49" s="85"/>
      <c r="L49" s="28"/>
      <c r="M49" s="84"/>
      <c r="N49" s="84"/>
    </row>
    <row r="50" spans="1:14" ht="13">
      <c r="A50" s="802" t="s">
        <v>1556</v>
      </c>
      <c r="B50" s="802"/>
      <c r="D50" s="791" t="s">
        <v>222</v>
      </c>
      <c r="E50" s="791"/>
      <c r="F50" s="791"/>
      <c r="G50" s="28"/>
      <c r="H50" s="77" t="s">
        <v>222</v>
      </c>
      <c r="I50" s="28"/>
      <c r="J50" s="791" t="s">
        <v>222</v>
      </c>
      <c r="K50" s="791"/>
      <c r="L50" s="28"/>
      <c r="M50" s="791" t="s">
        <v>222</v>
      </c>
      <c r="N50" s="791"/>
    </row>
    <row r="51" spans="1:14" ht="13">
      <c r="A51" s="802">
        <f>A33</f>
        <v>2021</v>
      </c>
      <c r="B51" s="802"/>
      <c r="D51" s="791" t="s">
        <v>207</v>
      </c>
      <c r="E51" s="791"/>
      <c r="F51" s="791"/>
      <c r="G51" s="28"/>
      <c r="H51" s="77" t="s">
        <v>208</v>
      </c>
      <c r="I51" s="28"/>
      <c r="J51" s="791" t="s">
        <v>209</v>
      </c>
      <c r="K51" s="791"/>
      <c r="L51" s="28"/>
      <c r="M51" s="791" t="s">
        <v>210</v>
      </c>
      <c r="N51" s="791"/>
    </row>
    <row r="52" spans="1:14" s="12" customFormat="1" ht="42.75" customHeight="1">
      <c r="A52" s="227"/>
      <c r="B52" s="228" t="s">
        <v>333</v>
      </c>
      <c r="D52" s="79" t="s">
        <v>211</v>
      </c>
      <c r="E52" s="79" t="s">
        <v>212</v>
      </c>
      <c r="F52" s="79" t="str">
        <f>F16</f>
        <v>Heat Input from GIS certificates (MMBtu)</v>
      </c>
      <c r="G52" s="28"/>
      <c r="H52" s="66" t="s">
        <v>331</v>
      </c>
      <c r="I52" s="78"/>
      <c r="J52" s="66" t="s">
        <v>332</v>
      </c>
      <c r="K52" s="66" t="s">
        <v>333</v>
      </c>
      <c r="L52" s="78"/>
      <c r="M52" s="66" t="s">
        <v>334</v>
      </c>
      <c r="N52" s="66" t="s">
        <v>333</v>
      </c>
    </row>
    <row r="53" spans="1:14" ht="12.75" customHeight="1">
      <c r="A53" s="229" t="s">
        <v>214</v>
      </c>
      <c r="B53" s="230">
        <f>SUM(B54:B58)+F58</f>
        <v>210308547.19377935</v>
      </c>
      <c r="D53" s="66" t="s">
        <v>215</v>
      </c>
      <c r="E53" s="78"/>
      <c r="F53" s="66"/>
      <c r="G53" s="28"/>
      <c r="H53" s="28"/>
      <c r="I53" s="28"/>
      <c r="J53" s="78"/>
      <c r="K53" s="78"/>
      <c r="L53" s="28"/>
      <c r="M53" s="78"/>
      <c r="N53" s="78"/>
    </row>
    <row r="54" spans="1:14">
      <c r="A54" s="214" t="s">
        <v>1401</v>
      </c>
      <c r="B54" s="231">
        <f>H59</f>
        <v>232882895.21935853</v>
      </c>
      <c r="D54" s="81" t="s">
        <v>381</v>
      </c>
      <c r="E54" s="94" t="s">
        <v>46</v>
      </c>
      <c r="F54" s="95">
        <f>'GIS Heat Input'!H40</f>
        <v>0</v>
      </c>
      <c r="G54" s="28"/>
      <c r="H54" s="80">
        <f>F54*'GWPs &amp; Fuel EFs'!$N$7</f>
        <v>0</v>
      </c>
      <c r="I54" s="28"/>
      <c r="J54" s="80">
        <f>F54*'GWPs &amp; Fuel EFs'!$M$35</f>
        <v>0</v>
      </c>
      <c r="K54" s="80">
        <f>J54*'GWPs &amp; Fuel EFs'!$D$11</f>
        <v>0</v>
      </c>
      <c r="L54" s="28"/>
      <c r="M54" s="80">
        <f>F54*'GWPs &amp; Fuel EFs'!$M$63</f>
        <v>0</v>
      </c>
      <c r="N54" s="80">
        <f>M54*'GWPs &amp; Fuel EFs'!$E$11</f>
        <v>0</v>
      </c>
    </row>
    <row r="55" spans="1:14">
      <c r="A55" s="214" t="s">
        <v>216</v>
      </c>
      <c r="B55" s="231">
        <f>K59</f>
        <v>1804242.1056654183</v>
      </c>
      <c r="D55" s="81" t="s">
        <v>380</v>
      </c>
      <c r="E55" s="94" t="s">
        <v>39</v>
      </c>
      <c r="F55" s="95">
        <f>'GIS Heat Input'!H41</f>
        <v>0</v>
      </c>
      <c r="G55" s="28"/>
      <c r="H55" s="80">
        <f>F55*'GWPs &amp; Fuel EFs'!$N$8</f>
        <v>0</v>
      </c>
      <c r="I55" s="28"/>
      <c r="J55" s="80">
        <f>F55*'GWPs &amp; Fuel EFs'!$M$36</f>
        <v>0</v>
      </c>
      <c r="K55" s="80">
        <f>J55*'GWPs &amp; Fuel EFs'!$D$11</f>
        <v>0</v>
      </c>
      <c r="L55" s="28"/>
      <c r="M55" s="80">
        <f>F55*'GWPs &amp; Fuel EFs'!$M$64</f>
        <v>0</v>
      </c>
      <c r="N55" s="80">
        <f>M55*'GWPs &amp; Fuel EFs'!$E$11</f>
        <v>0</v>
      </c>
    </row>
    <row r="56" spans="1:14">
      <c r="A56" s="214" t="s">
        <v>217</v>
      </c>
      <c r="B56" s="231">
        <f>N59</f>
        <v>2867542.1199375726</v>
      </c>
      <c r="D56" s="81" t="s">
        <v>394</v>
      </c>
      <c r="E56" s="94" t="s">
        <v>17</v>
      </c>
      <c r="F56" s="95">
        <f>'GIS Heat Input'!H42</f>
        <v>1088679.9786751622</v>
      </c>
      <c r="G56" s="28"/>
      <c r="H56" s="80">
        <f>F56*'GWPs &amp; Fuel EFs'!$N$9</f>
        <v>220598668.11935854</v>
      </c>
      <c r="I56" s="28"/>
      <c r="J56" s="80">
        <f>F56*'GWPs &amp; Fuel EFs'!$M$37</f>
        <v>72169.684226616737</v>
      </c>
      <c r="K56" s="80">
        <f>J56*'GWPs &amp; Fuel EFs'!$D$11</f>
        <v>1804242.1056654183</v>
      </c>
      <c r="L56" s="28"/>
      <c r="M56" s="80">
        <f>F56*'GWPs &amp; Fuel EFs'!$M$65</f>
        <v>9622.6245635489013</v>
      </c>
      <c r="N56" s="80">
        <f>M56*'GWPs &amp; Fuel EFs'!$E$11</f>
        <v>2867542.1199375726</v>
      </c>
    </row>
    <row r="57" spans="1:14">
      <c r="A57" s="214" t="s">
        <v>218</v>
      </c>
      <c r="B57" s="231">
        <f>K67</f>
        <v>-3067573.5348019996</v>
      </c>
      <c r="D57" s="135" t="s">
        <v>3077</v>
      </c>
      <c r="E57" s="136" t="s">
        <v>3074</v>
      </c>
      <c r="F57" s="647" t="s">
        <v>3361</v>
      </c>
      <c r="G57" s="28"/>
      <c r="H57" s="143">
        <f>(GIS!Y75)*'GWPs &amp; Fuel EFs'!$E$34</f>
        <v>12284227.1</v>
      </c>
    </row>
    <row r="58" spans="1:14">
      <c r="A58" s="214" t="s">
        <v>219</v>
      </c>
      <c r="B58" s="231">
        <f>N67</f>
        <v>-24178558.716380175</v>
      </c>
      <c r="D58" s="135" t="s">
        <v>2545</v>
      </c>
      <c r="E58" s="136" t="s">
        <v>2291</v>
      </c>
      <c r="F58" s="163">
        <f>GIS!AB264*'State &amp; Province Summary'!H38</f>
        <v>0</v>
      </c>
      <c r="G58" s="28"/>
      <c r="H58" s="80"/>
      <c r="I58" s="28"/>
      <c r="J58" s="80"/>
      <c r="K58" s="80"/>
      <c r="L58" s="28"/>
      <c r="M58" s="80"/>
      <c r="N58" s="80"/>
    </row>
    <row r="59" spans="1:14">
      <c r="A59" s="214"/>
      <c r="B59" s="214"/>
      <c r="D59" s="81"/>
      <c r="E59" s="28"/>
      <c r="F59" s="80"/>
      <c r="G59" s="28"/>
      <c r="H59" s="83">
        <f>SUM(H54:H57)</f>
        <v>232882895.21935853</v>
      </c>
      <c r="I59" s="28"/>
      <c r="J59" s="80"/>
      <c r="K59" s="83">
        <f>SUM(K54:K56)</f>
        <v>1804242.1056654183</v>
      </c>
      <c r="L59" s="28"/>
      <c r="M59" s="80"/>
      <c r="N59" s="83">
        <f>SUM(N54:N56)</f>
        <v>2867542.1199375726</v>
      </c>
    </row>
    <row r="60" spans="1:14">
      <c r="A60" s="214"/>
      <c r="B60" s="214"/>
    </row>
    <row r="61" spans="1:14" ht="13">
      <c r="A61" s="232" t="s">
        <v>220</v>
      </c>
      <c r="B61" s="230">
        <f>H67</f>
        <v>-2148615070.0514216</v>
      </c>
      <c r="D61" s="66" t="s">
        <v>221</v>
      </c>
      <c r="E61" s="28"/>
      <c r="F61" s="80"/>
      <c r="G61" s="28"/>
      <c r="H61" s="83"/>
      <c r="I61" s="28"/>
      <c r="J61" s="80"/>
      <c r="K61" s="83"/>
      <c r="L61" s="28"/>
      <c r="M61" s="80"/>
      <c r="N61" s="83"/>
    </row>
    <row r="62" spans="1:14">
      <c r="A62" s="214"/>
      <c r="B62" s="233"/>
      <c r="D62" s="81" t="s">
        <v>388</v>
      </c>
      <c r="E62" s="94" t="s">
        <v>63</v>
      </c>
      <c r="F62" s="95">
        <f>'GIS Heat Input'!H44</f>
        <v>-202373.63008093115</v>
      </c>
      <c r="G62" s="28"/>
      <c r="H62" s="80">
        <f>F62*'GWPs &amp; Fuel EFs'!$N$20</f>
        <v>-23231420.117312282</v>
      </c>
      <c r="I62" s="28"/>
      <c r="J62" s="80">
        <f>F62*'GWPs &amp; Fuel EFs'!$M$48</f>
        <v>-1427.7039442173864</v>
      </c>
      <c r="K62" s="80">
        <f>J62*'GWPs &amp; Fuel EFs'!$D$11</f>
        <v>-35692.598605434658</v>
      </c>
      <c r="L62" s="28"/>
      <c r="M62" s="80">
        <f>F62*'GWPs &amp; Fuel EFs'!$M$76</f>
        <v>-281.07921401779794</v>
      </c>
      <c r="N62" s="80">
        <f>M62*'GWPs &amp; Fuel EFs'!$E$11</f>
        <v>-83761.60577730379</v>
      </c>
    </row>
    <row r="63" spans="1:14">
      <c r="A63" s="214"/>
      <c r="B63" s="214"/>
      <c r="D63" s="81" t="s">
        <v>391</v>
      </c>
      <c r="E63" s="94" t="s">
        <v>16</v>
      </c>
      <c r="F63" s="95">
        <f>'GIS Heat Input'!H45</f>
        <v>890717.15746987052</v>
      </c>
      <c r="G63" s="28"/>
      <c r="H63" s="80">
        <f>F63*'GWPs &amp; Fuel EFs'!$N$21</f>
        <v>186462729.12533745</v>
      </c>
      <c r="I63" s="28"/>
      <c r="J63" s="80">
        <f>F63*'GWPs &amp; Fuel EFs'!$M$49</f>
        <v>55938.818737601236</v>
      </c>
      <c r="K63" s="80">
        <f>J63*'GWPs &amp; Fuel EFs'!$D$11</f>
        <v>1398470.4684400309</v>
      </c>
      <c r="L63" s="28"/>
      <c r="M63" s="80">
        <f>F63*'GWPs &amp; Fuel EFs'!$M$77</f>
        <v>7458.5091650134982</v>
      </c>
      <c r="N63" s="80">
        <f>M63*'GWPs &amp; Fuel EFs'!$E$11</f>
        <v>2222635.7311740224</v>
      </c>
    </row>
    <row r="64" spans="1:14">
      <c r="A64" s="214"/>
      <c r="B64" s="214"/>
      <c r="D64" s="81" t="s">
        <v>396</v>
      </c>
      <c r="E64" s="94" t="s">
        <v>69</v>
      </c>
      <c r="F64" s="95">
        <f>'GIS Heat Input'!H46</f>
        <v>-11103300.21507529</v>
      </c>
      <c r="G64" s="28"/>
      <c r="H64" s="80">
        <f>F64*'GWPs &amp; Fuel EFs'!$N$23</f>
        <v>-2296091442.8535886</v>
      </c>
      <c r="I64" s="28"/>
      <c r="J64" s="80">
        <f>F64*'GWPs &amp; Fuel EFs'!$M$51</f>
        <v>-176245.8250378021</v>
      </c>
      <c r="K64" s="80">
        <f>J64*'GWPs &amp; Fuel EFs'!$D$11</f>
        <v>-4406145.6259450521</v>
      </c>
      <c r="L64" s="28"/>
      <c r="M64" s="80">
        <f>F64*'GWPs &amp; Fuel EFs'!$M$79</f>
        <v>-88122.912518901052</v>
      </c>
      <c r="N64" s="80">
        <f>M64*'GWPs &amp; Fuel EFs'!$E$11</f>
        <v>-26260627.930632513</v>
      </c>
    </row>
    <row r="65" spans="1:14">
      <c r="A65" s="214"/>
      <c r="B65" s="214"/>
      <c r="D65" s="81" t="s">
        <v>2287</v>
      </c>
      <c r="E65" s="94" t="s">
        <v>68</v>
      </c>
      <c r="F65" s="95">
        <f>'GIS Heat Input'!H47</f>
        <v>-137244.45667000092</v>
      </c>
      <c r="G65" s="28"/>
      <c r="H65" s="80">
        <f>F65*'GWPs &amp; Fuel EFs'!$N$27</f>
        <v>-15754936.205858383</v>
      </c>
      <c r="I65" s="28"/>
      <c r="J65" s="80">
        <f>F65*'GWPs &amp; Fuel EFs'!$M$55</f>
        <v>-968.23114766174047</v>
      </c>
      <c r="K65" s="80">
        <f>J65*'GWPs &amp; Fuel EFs'!$D$11</f>
        <v>-24205.77869154351</v>
      </c>
      <c r="L65" s="28"/>
      <c r="M65" s="80">
        <f>F65*'GWPs &amp; Fuel EFs'!$M$83</f>
        <v>-190.62050719590513</v>
      </c>
      <c r="N65" s="80">
        <f>M65*'GWPs &amp; Fuel EFs'!$E$11</f>
        <v>-56804.91114437973</v>
      </c>
    </row>
    <row r="66" spans="1:14">
      <c r="A66" s="214"/>
      <c r="B66" s="214"/>
      <c r="D66" s="135" t="s">
        <v>2545</v>
      </c>
      <c r="E66" s="136" t="s">
        <v>2539</v>
      </c>
      <c r="F66" s="143">
        <f>GIS!AB264*'State &amp; Province Summary'!H39</f>
        <v>0</v>
      </c>
      <c r="G66" s="28"/>
      <c r="H66" s="80">
        <f>F66</f>
        <v>0</v>
      </c>
      <c r="I66" s="28"/>
      <c r="J66" s="80"/>
      <c r="K66" s="80"/>
      <c r="L66" s="28"/>
      <c r="M66" s="80"/>
      <c r="N66" s="80"/>
    </row>
    <row r="67" spans="1:14">
      <c r="A67" s="234"/>
      <c r="B67" s="235"/>
      <c r="D67" s="28"/>
      <c r="E67" s="28"/>
      <c r="F67" s="80"/>
      <c r="G67" s="28"/>
      <c r="H67" s="83">
        <f>SUM(H62:H66)</f>
        <v>-2148615070.0514216</v>
      </c>
      <c r="I67" s="28"/>
      <c r="J67" s="28"/>
      <c r="K67" s="83">
        <f>SUM(K62:K65)</f>
        <v>-3067573.5348019996</v>
      </c>
      <c r="L67" s="28"/>
      <c r="M67" s="28"/>
      <c r="N67" s="83">
        <f>SUM(N62:N65)</f>
        <v>-24178558.716380175</v>
      </c>
    </row>
    <row r="68" spans="1:14">
      <c r="A68" s="214"/>
      <c r="B68" s="231"/>
    </row>
    <row r="69" spans="1:14">
      <c r="A69" s="13"/>
      <c r="B69" s="13"/>
      <c r="D69" s="84"/>
      <c r="E69" s="84"/>
      <c r="F69" s="84"/>
      <c r="G69" s="28"/>
      <c r="H69" s="84"/>
      <c r="I69" s="28"/>
      <c r="J69" s="84"/>
      <c r="K69" s="84"/>
      <c r="L69" s="28"/>
      <c r="M69" s="84"/>
      <c r="N69" s="84"/>
    </row>
    <row r="70" spans="1:14" ht="13">
      <c r="A70" s="802" t="s">
        <v>1557</v>
      </c>
      <c r="B70" s="802"/>
      <c r="D70" s="791" t="s">
        <v>223</v>
      </c>
      <c r="E70" s="791"/>
      <c r="F70" s="791"/>
      <c r="G70" s="28"/>
      <c r="H70" s="77" t="s">
        <v>223</v>
      </c>
      <c r="I70" s="28"/>
      <c r="J70" s="791" t="s">
        <v>223</v>
      </c>
      <c r="K70" s="791"/>
      <c r="L70" s="28"/>
      <c r="M70" s="791" t="s">
        <v>223</v>
      </c>
      <c r="N70" s="791"/>
    </row>
    <row r="71" spans="1:14" ht="13">
      <c r="A71" s="802">
        <f>A51</f>
        <v>2021</v>
      </c>
      <c r="B71" s="802"/>
      <c r="D71" s="791" t="s">
        <v>207</v>
      </c>
      <c r="E71" s="791"/>
      <c r="F71" s="791"/>
      <c r="G71" s="28"/>
      <c r="H71" s="77" t="s">
        <v>208</v>
      </c>
      <c r="I71" s="28"/>
      <c r="J71" s="791" t="s">
        <v>209</v>
      </c>
      <c r="K71" s="791"/>
      <c r="L71" s="28"/>
      <c r="M71" s="791" t="s">
        <v>210</v>
      </c>
      <c r="N71" s="791"/>
    </row>
    <row r="72" spans="1:14" s="12" customFormat="1" ht="42.75" customHeight="1">
      <c r="A72" s="227"/>
      <c r="B72" s="228" t="s">
        <v>333</v>
      </c>
      <c r="D72" s="79" t="s">
        <v>211</v>
      </c>
      <c r="E72" s="79" t="s">
        <v>212</v>
      </c>
      <c r="F72" s="79" t="str">
        <f>F16</f>
        <v>Heat Input from GIS certificates (MMBtu)</v>
      </c>
      <c r="G72" s="28"/>
      <c r="H72" s="66" t="s">
        <v>331</v>
      </c>
      <c r="I72" s="78"/>
      <c r="J72" s="66" t="s">
        <v>332</v>
      </c>
      <c r="K72" s="66" t="s">
        <v>333</v>
      </c>
      <c r="L72" s="78"/>
      <c r="M72" s="66" t="s">
        <v>334</v>
      </c>
      <c r="N72" s="66" t="s">
        <v>333</v>
      </c>
    </row>
    <row r="73" spans="1:14" ht="12.75" customHeight="1">
      <c r="A73" s="229" t="s">
        <v>214</v>
      </c>
      <c r="B73" s="230">
        <f>SUM(B74:B78)</f>
        <v>-189477532.13366637</v>
      </c>
      <c r="D73" s="66" t="s">
        <v>215</v>
      </c>
      <c r="E73" s="66"/>
      <c r="F73" s="66"/>
      <c r="G73" s="28"/>
      <c r="H73" s="28"/>
      <c r="I73" s="28"/>
      <c r="J73" s="78"/>
      <c r="K73" s="78"/>
      <c r="L73" s="28"/>
      <c r="M73" s="78"/>
      <c r="N73" s="78"/>
    </row>
    <row r="74" spans="1:14">
      <c r="A74" s="214" t="s">
        <v>1402</v>
      </c>
      <c r="B74" s="231">
        <f>H77</f>
        <v>-168248942.07022661</v>
      </c>
      <c r="D74" s="81" t="s">
        <v>381</v>
      </c>
      <c r="E74" s="94" t="s">
        <v>46</v>
      </c>
      <c r="F74" s="95">
        <f>'GIS Heat Input'!H52</f>
        <v>7506.885006502961</v>
      </c>
      <c r="G74" s="28"/>
      <c r="H74" s="80">
        <f>F74*'GWPs &amp; Fuel EFs'!$N$7</f>
        <v>1227004.3089399303</v>
      </c>
      <c r="I74" s="28"/>
      <c r="J74" s="80">
        <f>F74*'GWPs &amp; Fuel EFs'!$M$35</f>
        <v>49.649545473225821</v>
      </c>
      <c r="K74" s="80">
        <f>J74*'GWPs &amp; Fuel EFs'!$D$11</f>
        <v>1241.2386368306454</v>
      </c>
      <c r="L74" s="28"/>
      <c r="M74" s="80">
        <f>F74*'GWPs &amp; Fuel EFs'!$M$63</f>
        <v>9.9299090946451631</v>
      </c>
      <c r="N74" s="80">
        <f>M74*'GWPs &amp; Fuel EFs'!$E$11</f>
        <v>2959.1129102042587</v>
      </c>
    </row>
    <row r="75" spans="1:14">
      <c r="A75" s="214" t="s">
        <v>216</v>
      </c>
      <c r="B75" s="231">
        <f>K77</f>
        <v>-1766106.3277691295</v>
      </c>
      <c r="D75" s="81" t="s">
        <v>380</v>
      </c>
      <c r="E75" s="94" t="s">
        <v>39</v>
      </c>
      <c r="F75" s="95">
        <f>'GIS Heat Input'!H53</f>
        <v>424099.23578220338</v>
      </c>
      <c r="G75" s="28"/>
      <c r="H75" s="80">
        <f>F75*'GWPs &amp; Fuel EFs'!$N$8</f>
        <v>49469667.841931418</v>
      </c>
      <c r="I75" s="28"/>
      <c r="J75" s="80">
        <f>F75*'GWPs &amp; Fuel EFs'!$M$36</f>
        <v>934.97876833015891</v>
      </c>
      <c r="K75" s="80">
        <f>J75*'GWPs &amp; Fuel EFs'!$D$11</f>
        <v>23374.469208253973</v>
      </c>
      <c r="L75" s="28"/>
      <c r="M75" s="80">
        <f>F75*'GWPs &amp; Fuel EFs'!$M$64</f>
        <v>93.497876833015894</v>
      </c>
      <c r="N75" s="80">
        <f>M75*'GWPs &amp; Fuel EFs'!$E$11</f>
        <v>27862.367296238735</v>
      </c>
    </row>
    <row r="76" spans="1:14">
      <c r="A76" s="214" t="s">
        <v>217</v>
      </c>
      <c r="B76" s="231">
        <f>N77</f>
        <v>-2815232.7417297489</v>
      </c>
      <c r="D76" s="81" t="s">
        <v>394</v>
      </c>
      <c r="E76" s="94" t="s">
        <v>17</v>
      </c>
      <c r="F76" s="95">
        <f>'GIS Heat Input'!H54</f>
        <v>-1080521.9662172925</v>
      </c>
      <c r="G76" s="28"/>
      <c r="H76" s="80">
        <f>F76*'GWPs &amp; Fuel EFs'!$N$9</f>
        <v>-218945614.22109798</v>
      </c>
      <c r="I76" s="28"/>
      <c r="J76" s="80">
        <f>F76*'GWPs &amp; Fuel EFs'!$M$37</f>
        <v>-71628.881424568564</v>
      </c>
      <c r="K76" s="80">
        <f>J76*'GWPs &amp; Fuel EFs'!$D$11</f>
        <v>-1790722.0356142141</v>
      </c>
      <c r="L76" s="28"/>
      <c r="M76" s="80">
        <f>F76*'GWPs &amp; Fuel EFs'!$M$65</f>
        <v>-9550.517523275812</v>
      </c>
      <c r="N76" s="80">
        <f>M76*'GWPs &amp; Fuel EFs'!$E$11</f>
        <v>-2846054.2219361919</v>
      </c>
    </row>
    <row r="77" spans="1:14">
      <c r="A77" s="214" t="s">
        <v>218</v>
      </c>
      <c r="B77" s="231">
        <f>K85</f>
        <v>-3320897.4274484748</v>
      </c>
      <c r="D77" s="81"/>
      <c r="E77" s="28"/>
      <c r="F77" s="80"/>
      <c r="G77" s="28"/>
      <c r="H77" s="83">
        <f>SUM(H74:H76)</f>
        <v>-168248942.07022661</v>
      </c>
      <c r="I77" s="28"/>
      <c r="J77" s="80"/>
      <c r="K77" s="83">
        <f>SUM(K74:K76)</f>
        <v>-1766106.3277691295</v>
      </c>
      <c r="L77" s="28"/>
      <c r="M77" s="80"/>
      <c r="N77" s="83">
        <f>SUM(N74:N76)</f>
        <v>-2815232.7417297489</v>
      </c>
    </row>
    <row r="78" spans="1:14">
      <c r="A78" s="214" t="s">
        <v>219</v>
      </c>
      <c r="B78" s="231">
        <f>N85</f>
        <v>-13326353.566492401</v>
      </c>
    </row>
    <row r="79" spans="1:14">
      <c r="A79" s="214"/>
      <c r="B79" s="214"/>
    </row>
    <row r="80" spans="1:14" ht="13">
      <c r="A80" s="232" t="s">
        <v>220</v>
      </c>
      <c r="B80" s="230">
        <f>H85</f>
        <v>-1206680785.674571</v>
      </c>
      <c r="D80" s="66" t="s">
        <v>221</v>
      </c>
      <c r="E80" s="28"/>
      <c r="F80" s="80"/>
      <c r="G80" s="28"/>
      <c r="H80" s="83"/>
      <c r="I80" s="28"/>
      <c r="J80" s="80"/>
      <c r="K80" s="83"/>
      <c r="L80" s="28"/>
      <c r="M80" s="80"/>
      <c r="N80" s="83"/>
    </row>
    <row r="81" spans="1:14">
      <c r="A81" s="214"/>
      <c r="B81" s="233"/>
      <c r="D81" s="81" t="s">
        <v>388</v>
      </c>
      <c r="E81" s="94" t="s">
        <v>63</v>
      </c>
      <c r="F81" s="95">
        <f>'GIS Heat Input'!H56</f>
        <v>-627285.18706597341</v>
      </c>
      <c r="G81" s="28"/>
      <c r="H81" s="80">
        <f>F81*'GWPs &amp; Fuel EFs'!$N$20</f>
        <v>-72009014.75290373</v>
      </c>
      <c r="I81" s="28"/>
      <c r="J81" s="80">
        <f>F81*'GWPs &amp; Fuel EFs'!$M$48</f>
        <v>-4425.3667603090444</v>
      </c>
      <c r="K81" s="80">
        <f>J81*'GWPs &amp; Fuel EFs'!$D$11</f>
        <v>-110634.16900772612</v>
      </c>
      <c r="L81" s="28"/>
      <c r="M81" s="80">
        <f>F81*'GWPs &amp; Fuel EFs'!$M$76</f>
        <v>-871.24408093584304</v>
      </c>
      <c r="N81" s="80">
        <f>M81*'GWPs &amp; Fuel EFs'!$E$11</f>
        <v>-259630.73611888124</v>
      </c>
    </row>
    <row r="82" spans="1:14">
      <c r="A82" s="214"/>
      <c r="B82" s="214"/>
      <c r="D82" s="81" t="s">
        <v>391</v>
      </c>
      <c r="E82" s="94" t="s">
        <v>16</v>
      </c>
      <c r="F82" s="95">
        <f>'GIS Heat Input'!H57</f>
        <v>-884042.57741933991</v>
      </c>
      <c r="G82" s="28"/>
      <c r="H82" s="80">
        <f>F82*'GWPs &amp; Fuel EFs'!$N$21</f>
        <v>-185065472.54220089</v>
      </c>
      <c r="I82" s="28"/>
      <c r="J82" s="80">
        <f>F82*'GWPs &amp; Fuel EFs'!$M$49</f>
        <v>-55519.641762660263</v>
      </c>
      <c r="K82" s="80">
        <f>J82*'GWPs &amp; Fuel EFs'!$D$11</f>
        <v>-1387991.0440665067</v>
      </c>
      <c r="L82" s="28"/>
      <c r="M82" s="80">
        <f>F82*'GWPs &amp; Fuel EFs'!$M$77</f>
        <v>-7402.6189016880353</v>
      </c>
      <c r="N82" s="80">
        <f>M82*'GWPs &amp; Fuel EFs'!$E$11</f>
        <v>-2205980.4327030345</v>
      </c>
    </row>
    <row r="83" spans="1:14">
      <c r="A83" s="214"/>
      <c r="B83" s="214"/>
      <c r="D83" s="81" t="s">
        <v>396</v>
      </c>
      <c r="E83" s="94" t="s">
        <v>69</v>
      </c>
      <c r="F83" s="95">
        <f>'GIS Heat Input'!H58</f>
        <v>-4592048.7399795195</v>
      </c>
      <c r="G83" s="86"/>
      <c r="H83" s="80">
        <f>F83*'GWPs &amp; Fuel EFs'!$N$23</f>
        <v>-949606298.3794663</v>
      </c>
      <c r="I83" s="28"/>
      <c r="J83" s="80">
        <f>F83*'GWPs &amp; Fuel EFs'!$M$51</f>
        <v>-72890.888574969693</v>
      </c>
      <c r="K83" s="80">
        <f>J83*'GWPs &amp; Fuel EFs'!$D$11</f>
        <v>-1822272.2143742424</v>
      </c>
      <c r="L83" s="28"/>
      <c r="M83" s="80">
        <f>F83*'GWPs &amp; Fuel EFs'!$M$79</f>
        <v>-36445.444287484846</v>
      </c>
      <c r="N83" s="80">
        <f>M83*'GWPs &amp; Fuel EFs'!$E$11</f>
        <v>-10860742.397670485</v>
      </c>
    </row>
    <row r="84" spans="1:14" ht="13">
      <c r="A84" s="232"/>
      <c r="B84" s="230"/>
      <c r="D84" s="81" t="s">
        <v>2287</v>
      </c>
      <c r="E84" s="94" t="s">
        <v>68</v>
      </c>
      <c r="F84" s="95">
        <f>'GIS Heat Input'!H59</f>
        <v>48920.013708166887</v>
      </c>
      <c r="G84" s="28"/>
      <c r="H84" s="80">
        <f>F84*'GWPs &amp; Fuel EFs'!$N$27</f>
        <v>5615758.2889856305</v>
      </c>
      <c r="I84" s="28"/>
      <c r="J84" s="80">
        <f>F84*'GWPs &amp; Fuel EFs'!$M$55</f>
        <v>345.12054013355134</v>
      </c>
      <c r="K84" s="80">
        <f>J84*'GWPs &amp; Fuel EFs'!$D$11</f>
        <v>8628.0135033387833</v>
      </c>
      <c r="L84" s="28"/>
      <c r="M84" s="80">
        <f>F84*'GWPs &amp; Fuel EFs'!$M$83</f>
        <v>67.945606338792913</v>
      </c>
      <c r="N84" s="80">
        <f>M84*'GWPs &amp; Fuel EFs'!$E$11</f>
        <v>20247.790688960289</v>
      </c>
    </row>
    <row r="85" spans="1:14">
      <c r="A85" s="214"/>
      <c r="B85" s="235"/>
      <c r="D85" s="28"/>
      <c r="E85" s="28"/>
      <c r="F85" s="28"/>
      <c r="G85" s="28"/>
      <c r="H85" s="83">
        <f>SUM(H81:H83)</f>
        <v>-1206680785.674571</v>
      </c>
      <c r="I85" s="28"/>
      <c r="J85" s="80"/>
      <c r="K85" s="83">
        <f>SUM(K81:K83)</f>
        <v>-3320897.4274484748</v>
      </c>
      <c r="L85" s="28"/>
      <c r="M85" s="80"/>
      <c r="N85" s="83">
        <f>SUM(N81:N83)</f>
        <v>-13326353.566492401</v>
      </c>
    </row>
    <row r="86" spans="1:14">
      <c r="A86" s="214"/>
      <c r="B86" s="214"/>
    </row>
    <row r="87" spans="1:14">
      <c r="A87" s="13"/>
      <c r="B87" s="13"/>
      <c r="D87" s="84"/>
      <c r="E87" s="84"/>
      <c r="F87" s="84"/>
      <c r="G87" s="28"/>
      <c r="H87" s="84"/>
      <c r="I87" s="28"/>
      <c r="J87" s="84"/>
      <c r="K87" s="84"/>
      <c r="L87" s="28"/>
      <c r="M87" s="84"/>
      <c r="N87" s="84"/>
    </row>
    <row r="88" spans="1:14" ht="13">
      <c r="A88" s="802" t="s">
        <v>1558</v>
      </c>
      <c r="B88" s="802"/>
      <c r="D88" s="791" t="s">
        <v>227</v>
      </c>
      <c r="E88" s="791"/>
      <c r="F88" s="791"/>
      <c r="G88" s="28"/>
      <c r="H88" s="77" t="s">
        <v>227</v>
      </c>
      <c r="I88" s="28"/>
      <c r="J88" s="791" t="s">
        <v>227</v>
      </c>
      <c r="K88" s="791"/>
      <c r="L88" s="28"/>
      <c r="M88" s="791" t="s">
        <v>227</v>
      </c>
      <c r="N88" s="791"/>
    </row>
    <row r="89" spans="1:14" ht="13">
      <c r="A89" s="802">
        <f>A71</f>
        <v>2021</v>
      </c>
      <c r="B89" s="802"/>
      <c r="D89" s="791" t="s">
        <v>207</v>
      </c>
      <c r="E89" s="791"/>
      <c r="F89" s="791"/>
      <c r="G89" s="28"/>
      <c r="H89" s="77" t="s">
        <v>208</v>
      </c>
      <c r="I89" s="28"/>
      <c r="J89" s="791" t="s">
        <v>209</v>
      </c>
      <c r="K89" s="791"/>
      <c r="L89" s="28"/>
      <c r="M89" s="791" t="s">
        <v>210</v>
      </c>
      <c r="N89" s="791"/>
    </row>
    <row r="90" spans="1:14" s="12" customFormat="1" ht="42.75" customHeight="1">
      <c r="A90" s="227"/>
      <c r="B90" s="228" t="s">
        <v>333</v>
      </c>
      <c r="D90" s="79" t="s">
        <v>211</v>
      </c>
      <c r="E90" s="79" t="s">
        <v>212</v>
      </c>
      <c r="F90" s="79" t="str">
        <f>F16</f>
        <v>Heat Input from GIS certificates (MMBtu)</v>
      </c>
      <c r="G90" s="28"/>
      <c r="H90" s="66" t="s">
        <v>331</v>
      </c>
      <c r="I90" s="78"/>
      <c r="J90" s="66" t="s">
        <v>332</v>
      </c>
      <c r="K90" s="66" t="s">
        <v>333</v>
      </c>
      <c r="L90" s="78"/>
      <c r="M90" s="66" t="s">
        <v>334</v>
      </c>
      <c r="N90" s="66" t="s">
        <v>333</v>
      </c>
    </row>
    <row r="91" spans="1:14" ht="12.75" customHeight="1">
      <c r="A91" s="229" t="s">
        <v>214</v>
      </c>
      <c r="B91" s="230">
        <f>SUM(B92:B96)+F95</f>
        <v>-61734956.033455461</v>
      </c>
      <c r="D91" s="66" t="s">
        <v>215</v>
      </c>
      <c r="E91" s="66"/>
      <c r="F91" s="66"/>
      <c r="G91" s="28"/>
      <c r="H91" s="28"/>
      <c r="I91" s="28"/>
      <c r="J91" s="78"/>
      <c r="K91" s="78"/>
      <c r="L91" s="28"/>
      <c r="M91" s="78"/>
      <c r="N91" s="78"/>
    </row>
    <row r="92" spans="1:14">
      <c r="A92" s="214" t="s">
        <v>1402</v>
      </c>
      <c r="B92" s="231">
        <f>H96</f>
        <v>0</v>
      </c>
      <c r="D92" s="81" t="s">
        <v>381</v>
      </c>
      <c r="E92" s="94" t="s">
        <v>46</v>
      </c>
      <c r="F92" s="95">
        <f>'GIS Heat Input'!H88</f>
        <v>0</v>
      </c>
      <c r="G92" s="28"/>
      <c r="H92" s="80">
        <f>F92*'GWPs &amp; Fuel EFs'!$N$7</f>
        <v>0</v>
      </c>
      <c r="I92" s="28"/>
      <c r="J92" s="80">
        <f>F92*'GWPs &amp; Fuel EFs'!$M$35</f>
        <v>0</v>
      </c>
      <c r="K92" s="80">
        <f>J92*'GWPs &amp; Fuel EFs'!$D$11</f>
        <v>0</v>
      </c>
      <c r="L92" s="28"/>
      <c r="M92" s="80">
        <f>F92*'GWPs &amp; Fuel EFs'!$M$63</f>
        <v>0</v>
      </c>
      <c r="N92" s="80">
        <f>M92*'GWPs &amp; Fuel EFs'!$E$11</f>
        <v>0</v>
      </c>
    </row>
    <row r="93" spans="1:14">
      <c r="A93" s="214" t="s">
        <v>216</v>
      </c>
      <c r="B93" s="231">
        <f>K96</f>
        <v>0</v>
      </c>
      <c r="D93" s="81" t="s">
        <v>380</v>
      </c>
      <c r="E93" s="94" t="s">
        <v>39</v>
      </c>
      <c r="F93" s="95">
        <f>'GIS Heat Input'!H89</f>
        <v>0</v>
      </c>
      <c r="G93" s="28"/>
      <c r="H93" s="80">
        <f>F93*'GWPs &amp; Fuel EFs'!$N$8</f>
        <v>0</v>
      </c>
      <c r="I93" s="28"/>
      <c r="J93" s="80">
        <f>F93*'GWPs &amp; Fuel EFs'!$M$36</f>
        <v>0</v>
      </c>
      <c r="K93" s="80">
        <f>J93*'GWPs &amp; Fuel EFs'!$D$11</f>
        <v>0</v>
      </c>
      <c r="L93" s="28"/>
      <c r="M93" s="80">
        <f>F93*'GWPs &amp; Fuel EFs'!$M$64</f>
        <v>0</v>
      </c>
      <c r="N93" s="80">
        <f>M93*'GWPs &amp; Fuel EFs'!$E$11</f>
        <v>0</v>
      </c>
    </row>
    <row r="94" spans="1:14">
      <c r="A94" s="214" t="s">
        <v>217</v>
      </c>
      <c r="B94" s="231">
        <f>N96</f>
        <v>0</v>
      </c>
      <c r="D94" s="81" t="s">
        <v>394</v>
      </c>
      <c r="E94" s="94" t="s">
        <v>17</v>
      </c>
      <c r="F94" s="95">
        <f>'GIS Heat Input'!H90</f>
        <v>0</v>
      </c>
      <c r="G94" s="28"/>
      <c r="H94" s="80">
        <f>F94*'GWPs &amp; Fuel EFs'!$N$9</f>
        <v>0</v>
      </c>
      <c r="I94" s="28"/>
      <c r="J94" s="80">
        <f>F94*'GWPs &amp; Fuel EFs'!$M$37</f>
        <v>0</v>
      </c>
      <c r="K94" s="80">
        <f>J94*'GWPs &amp; Fuel EFs'!$D$11</f>
        <v>0</v>
      </c>
      <c r="L94" s="28"/>
      <c r="M94" s="80">
        <f>F94*'GWPs &amp; Fuel EFs'!$M$65</f>
        <v>0</v>
      </c>
      <c r="N94" s="80">
        <f>M94*'GWPs &amp; Fuel EFs'!$E$11</f>
        <v>0</v>
      </c>
    </row>
    <row r="95" spans="1:14">
      <c r="A95" s="214" t="s">
        <v>218</v>
      </c>
      <c r="B95" s="231">
        <f>K104</f>
        <v>-1097539.1313390343</v>
      </c>
      <c r="D95" s="135" t="s">
        <v>2292</v>
      </c>
      <c r="E95" s="136" t="s">
        <v>2291</v>
      </c>
      <c r="F95" s="137">
        <f>-(GIS!AI238*'State &amp; Province Summary'!H35)</f>
        <v>-58061766.945646547</v>
      </c>
      <c r="G95" s="28"/>
      <c r="H95" s="80"/>
      <c r="I95" s="28"/>
      <c r="J95" s="80"/>
      <c r="K95" s="80"/>
      <c r="L95" s="28"/>
      <c r="M95" s="80"/>
      <c r="N95" s="80"/>
    </row>
    <row r="96" spans="1:14">
      <c r="A96" s="214" t="s">
        <v>219</v>
      </c>
      <c r="B96" s="231">
        <f>N104</f>
        <v>-2575649.9564698786</v>
      </c>
      <c r="D96" s="81"/>
      <c r="E96" s="28"/>
      <c r="F96" s="80"/>
      <c r="G96" s="28"/>
      <c r="H96" s="83">
        <f>SUM(H92:H94)</f>
        <v>0</v>
      </c>
      <c r="I96" s="28"/>
      <c r="J96" s="80"/>
      <c r="K96" s="83">
        <f>SUM(K92:K94)</f>
        <v>0</v>
      </c>
      <c r="L96" s="28"/>
      <c r="M96" s="80"/>
      <c r="N96" s="83">
        <f>SUM(N92:N94)</f>
        <v>0</v>
      </c>
    </row>
    <row r="97" spans="1:14">
      <c r="A97" s="214"/>
      <c r="B97" s="214"/>
    </row>
    <row r="98" spans="1:14" ht="13">
      <c r="A98" s="232" t="s">
        <v>220</v>
      </c>
      <c r="B98" s="230">
        <f>H104</f>
        <v>-718223327.74416447</v>
      </c>
      <c r="D98" s="66" t="s">
        <v>221</v>
      </c>
      <c r="E98" s="28"/>
      <c r="F98" s="80"/>
      <c r="G98" s="28"/>
      <c r="H98" s="83"/>
      <c r="I98" s="28"/>
      <c r="J98" s="80"/>
      <c r="K98" s="83"/>
      <c r="L98" s="28"/>
      <c r="M98" s="80"/>
      <c r="N98" s="83"/>
    </row>
    <row r="99" spans="1:14">
      <c r="A99" s="214"/>
      <c r="B99" s="233"/>
      <c r="D99" s="81" t="s">
        <v>388</v>
      </c>
      <c r="E99" s="94" t="s">
        <v>63</v>
      </c>
      <c r="F99" s="95">
        <f>'GIS Heat Input'!H92</f>
        <v>-6222942.2021161737</v>
      </c>
      <c r="G99" s="28"/>
      <c r="H99" s="80">
        <f>F99*'GWPs &amp; Fuel EFs'!$N$20</f>
        <v>-714360782.11029387</v>
      </c>
      <c r="I99" s="28"/>
      <c r="J99" s="80">
        <f>F99*'GWPs &amp; Fuel EFs'!$M$48</f>
        <v>-43901.56525356137</v>
      </c>
      <c r="K99" s="80">
        <f>J99*'GWPs &amp; Fuel EFs'!$D$11</f>
        <v>-1097539.1313390343</v>
      </c>
      <c r="L99" s="28"/>
      <c r="M99" s="80">
        <f>F99*'GWPs &amp; Fuel EFs'!$M$76</f>
        <v>-8643.1206592948947</v>
      </c>
      <c r="N99" s="80">
        <f>M99*'GWPs &amp; Fuel EFs'!$E$11</f>
        <v>-2575649.9564698786</v>
      </c>
    </row>
    <row r="100" spans="1:14">
      <c r="A100" s="214"/>
      <c r="B100" s="214"/>
      <c r="D100" s="81" t="s">
        <v>391</v>
      </c>
      <c r="E100" s="94" t="s">
        <v>16</v>
      </c>
      <c r="F100" s="95">
        <f>'GIS Heat Input'!H93</f>
        <v>0</v>
      </c>
      <c r="G100" s="28"/>
      <c r="H100" s="80">
        <f>F100*'GWPs &amp; Fuel EFs'!$N$21</f>
        <v>0</v>
      </c>
      <c r="I100" s="28"/>
      <c r="J100" s="80">
        <f>F100*'GWPs &amp; Fuel EFs'!$M$49</f>
        <v>0</v>
      </c>
      <c r="K100" s="80">
        <f>J100*'GWPs &amp; Fuel EFs'!$D$11</f>
        <v>0</v>
      </c>
      <c r="L100" s="28"/>
      <c r="M100" s="80">
        <f>F100*'GWPs &amp; Fuel EFs'!$M$77</f>
        <v>0</v>
      </c>
      <c r="N100" s="80">
        <f>M100*'GWPs &amp; Fuel EFs'!$E$11</f>
        <v>0</v>
      </c>
    </row>
    <row r="101" spans="1:14">
      <c r="A101" s="214"/>
      <c r="B101" s="214"/>
      <c r="D101" s="81" t="s">
        <v>396</v>
      </c>
      <c r="E101" s="94" t="s">
        <v>69</v>
      </c>
      <c r="F101" s="95">
        <f>'GIS Heat Input'!H94</f>
        <v>0</v>
      </c>
      <c r="G101" s="28"/>
      <c r="H101" s="80">
        <f>F101*'GWPs &amp; Fuel EFs'!$N$23</f>
        <v>0</v>
      </c>
      <c r="I101" s="28"/>
      <c r="J101" s="80">
        <f>F101*'GWPs &amp; Fuel EFs'!$M$51</f>
        <v>0</v>
      </c>
      <c r="K101" s="80">
        <f>J101*'GWPs &amp; Fuel EFs'!$D$11</f>
        <v>0</v>
      </c>
      <c r="L101" s="28"/>
      <c r="M101" s="80">
        <f>F101*'GWPs &amp; Fuel EFs'!$M$79</f>
        <v>0</v>
      </c>
      <c r="N101" s="80">
        <f>M101*'GWPs &amp; Fuel EFs'!$E$11</f>
        <v>0</v>
      </c>
    </row>
    <row r="102" spans="1:14">
      <c r="A102" s="214"/>
      <c r="B102" s="214"/>
      <c r="D102" s="81" t="s">
        <v>2287</v>
      </c>
      <c r="E102" s="94" t="s">
        <v>68</v>
      </c>
      <c r="F102" s="95">
        <f>'GIS Heat Input'!H95</f>
        <v>0</v>
      </c>
      <c r="G102" s="28"/>
      <c r="H102" s="80">
        <f>F102*'GWPs &amp; Fuel EFs'!$N$27</f>
        <v>0</v>
      </c>
      <c r="I102" s="28"/>
      <c r="J102" s="80">
        <f>F102*'GWPs &amp; Fuel EFs'!$M$55</f>
        <v>0</v>
      </c>
      <c r="K102" s="80">
        <f>J102*'GWPs &amp; Fuel EFs'!$D$11</f>
        <v>0</v>
      </c>
      <c r="L102" s="28"/>
      <c r="M102" s="80">
        <f>F102*'GWPs &amp; Fuel EFs'!$M$83</f>
        <v>0</v>
      </c>
      <c r="N102" s="80">
        <f>M102*'GWPs &amp; Fuel EFs'!$E$11</f>
        <v>0</v>
      </c>
    </row>
    <row r="103" spans="1:14">
      <c r="A103" s="214"/>
      <c r="B103" s="214"/>
      <c r="D103" s="135" t="s">
        <v>2292</v>
      </c>
      <c r="E103" s="136" t="s">
        <v>2539</v>
      </c>
      <c r="F103" s="143">
        <f>-(GIS!AI238*'State &amp; Province Summary'!H36)</f>
        <v>-3862545.6338705695</v>
      </c>
      <c r="G103" s="28"/>
      <c r="H103" s="80">
        <f>F103</f>
        <v>-3862545.6338705695</v>
      </c>
      <c r="I103" s="28"/>
      <c r="J103" s="80"/>
      <c r="K103" s="80"/>
      <c r="L103" s="28"/>
      <c r="M103" s="80"/>
      <c r="N103" s="80"/>
    </row>
    <row r="104" spans="1:14">
      <c r="A104" s="214"/>
      <c r="B104" s="214"/>
      <c r="D104" s="28"/>
      <c r="E104" s="28"/>
      <c r="F104" s="80"/>
      <c r="G104" s="28"/>
      <c r="H104" s="83">
        <f>SUM(H99:H103)</f>
        <v>-718223327.74416447</v>
      </c>
      <c r="I104" s="28"/>
      <c r="J104" s="28"/>
      <c r="K104" s="83">
        <f>SUM(K99:K102)</f>
        <v>-1097539.1313390343</v>
      </c>
      <c r="L104" s="28"/>
      <c r="M104" s="28"/>
      <c r="N104" s="83">
        <f>SUM(N99:N102)</f>
        <v>-2575649.9564698786</v>
      </c>
    </row>
    <row r="105" spans="1:14">
      <c r="A105" s="214"/>
      <c r="B105" s="214"/>
    </row>
    <row r="106" spans="1:14">
      <c r="A106" s="13"/>
      <c r="B106" s="13"/>
      <c r="D106" s="84"/>
      <c r="E106" s="84"/>
      <c r="F106" s="84"/>
      <c r="G106" s="28"/>
      <c r="H106" s="84"/>
      <c r="I106" s="28"/>
      <c r="J106" s="84"/>
      <c r="K106" s="85"/>
      <c r="L106" s="28"/>
      <c r="M106" s="84"/>
      <c r="N106" s="84"/>
    </row>
    <row r="107" spans="1:14" ht="13">
      <c r="A107" s="802" t="s">
        <v>1559</v>
      </c>
      <c r="B107" s="802"/>
      <c r="D107" s="791" t="s">
        <v>225</v>
      </c>
      <c r="E107" s="791"/>
      <c r="F107" s="791"/>
      <c r="G107" s="28"/>
      <c r="H107" s="77" t="s">
        <v>225</v>
      </c>
      <c r="I107" s="28"/>
      <c r="J107" s="791" t="s">
        <v>225</v>
      </c>
      <c r="K107" s="791"/>
      <c r="L107" s="28"/>
      <c r="M107" s="791" t="s">
        <v>225</v>
      </c>
      <c r="N107" s="791"/>
    </row>
    <row r="108" spans="1:14" ht="13">
      <c r="A108" s="802">
        <f>A89</f>
        <v>2021</v>
      </c>
      <c r="B108" s="802"/>
      <c r="D108" s="791" t="s">
        <v>207</v>
      </c>
      <c r="E108" s="791"/>
      <c r="F108" s="791"/>
      <c r="G108" s="28"/>
      <c r="H108" s="77" t="s">
        <v>208</v>
      </c>
      <c r="I108" s="28"/>
      <c r="J108" s="791" t="s">
        <v>209</v>
      </c>
      <c r="K108" s="791"/>
      <c r="L108" s="28"/>
      <c r="M108" s="791" t="s">
        <v>210</v>
      </c>
      <c r="N108" s="791"/>
    </row>
    <row r="109" spans="1:14" s="12" customFormat="1" ht="42.75" customHeight="1">
      <c r="A109" s="227"/>
      <c r="B109" s="228" t="s">
        <v>333</v>
      </c>
      <c r="D109" s="79" t="s">
        <v>211</v>
      </c>
      <c r="E109" s="79" t="s">
        <v>212</v>
      </c>
      <c r="F109" s="79" t="str">
        <f>F16</f>
        <v>Heat Input from GIS certificates (MMBtu)</v>
      </c>
      <c r="G109" s="28"/>
      <c r="H109" s="66" t="s">
        <v>331</v>
      </c>
      <c r="I109" s="78"/>
      <c r="J109" s="66" t="s">
        <v>332</v>
      </c>
      <c r="K109" s="66" t="s">
        <v>333</v>
      </c>
      <c r="L109" s="78"/>
      <c r="M109" s="66" t="s">
        <v>334</v>
      </c>
      <c r="N109" s="66" t="s">
        <v>333</v>
      </c>
    </row>
    <row r="110" spans="1:14" ht="13">
      <c r="A110" s="229" t="s">
        <v>214</v>
      </c>
      <c r="B110" s="230">
        <f>SUM(B111:B115)</f>
        <v>6908007.3602818968</v>
      </c>
      <c r="D110" s="66" t="s">
        <v>215</v>
      </c>
      <c r="E110" s="66"/>
      <c r="F110" s="66"/>
      <c r="G110" s="28"/>
      <c r="H110" s="28"/>
      <c r="I110" s="28"/>
      <c r="J110" s="78"/>
      <c r="K110" s="78"/>
      <c r="L110" s="28"/>
      <c r="M110" s="78"/>
      <c r="N110" s="78"/>
    </row>
    <row r="111" spans="1:14">
      <c r="A111" s="214" t="s">
        <v>1401</v>
      </c>
      <c r="B111" s="231">
        <f>H114</f>
        <v>0</v>
      </c>
      <c r="D111" s="81" t="s">
        <v>381</v>
      </c>
      <c r="E111" s="94" t="s">
        <v>46</v>
      </c>
      <c r="F111" s="95">
        <f>'GIS Heat Input'!H64</f>
        <v>0</v>
      </c>
      <c r="G111" s="28"/>
      <c r="H111" s="80">
        <f>F111*'GWPs &amp; Fuel EFs'!$N$7</f>
        <v>0</v>
      </c>
      <c r="I111" s="28"/>
      <c r="J111" s="80">
        <f>F111*'GWPs &amp; Fuel EFs'!$M$35</f>
        <v>0</v>
      </c>
      <c r="K111" s="80">
        <f>J111*'GWPs &amp; Fuel EFs'!$D$11</f>
        <v>0</v>
      </c>
      <c r="L111" s="28"/>
      <c r="M111" s="80">
        <f>F111*'GWPs &amp; Fuel EFs'!$M$63</f>
        <v>0</v>
      </c>
      <c r="N111" s="80">
        <f>M111*'GWPs &amp; Fuel EFs'!$E$11</f>
        <v>0</v>
      </c>
    </row>
    <row r="112" spans="1:14">
      <c r="A112" s="214" t="s">
        <v>216</v>
      </c>
      <c r="B112" s="231">
        <f>K114</f>
        <v>0</v>
      </c>
      <c r="D112" s="81" t="s">
        <v>380</v>
      </c>
      <c r="E112" s="94" t="s">
        <v>39</v>
      </c>
      <c r="F112" s="95">
        <f>'GIS Heat Input'!H65</f>
        <v>0</v>
      </c>
      <c r="G112" s="28"/>
      <c r="H112" s="80">
        <f>F112*'GWPs &amp; Fuel EFs'!$N$8</f>
        <v>0</v>
      </c>
      <c r="I112" s="28"/>
      <c r="J112" s="80">
        <f>F112*'GWPs &amp; Fuel EFs'!$M$36</f>
        <v>0</v>
      </c>
      <c r="K112" s="80">
        <f>J112*'GWPs &amp; Fuel EFs'!$D$11</f>
        <v>0</v>
      </c>
      <c r="L112" s="28"/>
      <c r="M112" s="80">
        <f>F112*'GWPs &amp; Fuel EFs'!$M$64</f>
        <v>0</v>
      </c>
      <c r="N112" s="80">
        <f>M112*'GWPs &amp; Fuel EFs'!$E$11</f>
        <v>0</v>
      </c>
    </row>
    <row r="113" spans="1:14">
      <c r="A113" s="214" t="s">
        <v>217</v>
      </c>
      <c r="B113" s="231">
        <f>N114</f>
        <v>0</v>
      </c>
      <c r="D113" s="81" t="s">
        <v>394</v>
      </c>
      <c r="E113" s="94" t="s">
        <v>17</v>
      </c>
      <c r="F113" s="95">
        <f>'GIS Heat Input'!H66</f>
        <v>0</v>
      </c>
      <c r="G113" s="28"/>
      <c r="H113" s="80">
        <f>F113*'GWPs &amp; Fuel EFs'!$N$9</f>
        <v>0</v>
      </c>
      <c r="I113" s="28"/>
      <c r="J113" s="80">
        <f>F113*'GWPs &amp; Fuel EFs'!$M$37</f>
        <v>0</v>
      </c>
      <c r="K113" s="80">
        <f>J113*'GWPs &amp; Fuel EFs'!$D$11</f>
        <v>0</v>
      </c>
      <c r="L113" s="28"/>
      <c r="M113" s="80">
        <f>F113*'GWPs &amp; Fuel EFs'!$M$65</f>
        <v>0</v>
      </c>
      <c r="N113" s="80">
        <f>M113*'GWPs &amp; Fuel EFs'!$E$11</f>
        <v>0</v>
      </c>
    </row>
    <row r="114" spans="1:14">
      <c r="A114" s="214" t="s">
        <v>218</v>
      </c>
      <c r="B114" s="231">
        <f>K122</f>
        <v>1034648.2382475933</v>
      </c>
      <c r="D114" s="81"/>
      <c r="E114" s="28"/>
      <c r="F114" s="80"/>
      <c r="G114" s="28"/>
      <c r="H114" s="83">
        <f>SUM(H111:H113)</f>
        <v>0</v>
      </c>
      <c r="I114" s="28"/>
      <c r="J114" s="80"/>
      <c r="K114" s="83">
        <f>SUM(K111:K113)</f>
        <v>0</v>
      </c>
      <c r="L114" s="28"/>
      <c r="M114" s="80"/>
      <c r="N114" s="83">
        <f>SUM(N111:N113)</f>
        <v>0</v>
      </c>
    </row>
    <row r="115" spans="1:14">
      <c r="A115" s="214" t="s">
        <v>219</v>
      </c>
      <c r="B115" s="231">
        <f>N122</f>
        <v>5873359.1220343038</v>
      </c>
    </row>
    <row r="116" spans="1:14">
      <c r="A116" s="214"/>
      <c r="B116" s="214"/>
    </row>
    <row r="117" spans="1:14" ht="13">
      <c r="A117" s="232" t="s">
        <v>220</v>
      </c>
      <c r="B117" s="230">
        <f>H122</f>
        <v>549694487.8212924</v>
      </c>
      <c r="D117" s="66" t="s">
        <v>221</v>
      </c>
      <c r="E117" s="28"/>
      <c r="F117" s="80"/>
      <c r="G117" s="28"/>
      <c r="H117" s="83"/>
      <c r="I117" s="28"/>
      <c r="J117" s="80"/>
      <c r="K117" s="83"/>
      <c r="L117" s="28"/>
      <c r="M117" s="80"/>
      <c r="N117" s="83"/>
    </row>
    <row r="118" spans="1:14">
      <c r="A118" s="214"/>
      <c r="B118" s="233"/>
      <c r="D118" s="81" t="s">
        <v>388</v>
      </c>
      <c r="E118" s="94" t="s">
        <v>63</v>
      </c>
      <c r="F118" s="95">
        <f>'GIS Heat Input'!H68</f>
        <v>322757.1113263563</v>
      </c>
      <c r="G118" s="28"/>
      <c r="H118" s="80">
        <f>F118*'GWPs &amp; Fuel EFs'!$N$20</f>
        <v>37050805.710576765</v>
      </c>
      <c r="I118" s="28"/>
      <c r="J118" s="80">
        <f>F118*'GWPs &amp; Fuel EFs'!$M$48</f>
        <v>2276.9844108670186</v>
      </c>
      <c r="K118" s="80">
        <f>J118*'GWPs &amp; Fuel EFs'!$D$11</f>
        <v>56924.610271675469</v>
      </c>
      <c r="L118" s="28"/>
      <c r="M118" s="80">
        <f>F118*'GWPs &amp; Fuel EFs'!$M$76</f>
        <v>448.28130588944424</v>
      </c>
      <c r="N118" s="80">
        <f>M118*'GWPs &amp; Fuel EFs'!$E$11</f>
        <v>133587.82915505438</v>
      </c>
    </row>
    <row r="119" spans="1:14">
      <c r="A119" s="214"/>
      <c r="B119" s="214"/>
      <c r="D119" s="81" t="s">
        <v>391</v>
      </c>
      <c r="E119" s="94" t="s">
        <v>16</v>
      </c>
      <c r="F119" s="95">
        <f>'GIS Heat Input'!H69</f>
        <v>0</v>
      </c>
      <c r="G119" s="28"/>
      <c r="H119" s="80">
        <f>F119*'GWPs &amp; Fuel EFs'!$N$21</f>
        <v>0</v>
      </c>
      <c r="I119" s="28"/>
      <c r="J119" s="80">
        <f>F119*'GWPs &amp; Fuel EFs'!$M$49</f>
        <v>0</v>
      </c>
      <c r="K119" s="80">
        <f>J119*'GWPs &amp; Fuel EFs'!$D$11</f>
        <v>0</v>
      </c>
      <c r="L119" s="28"/>
      <c r="M119" s="80">
        <f>F119*'GWPs &amp; Fuel EFs'!$M$77</f>
        <v>0</v>
      </c>
      <c r="N119" s="80">
        <f>M119*'GWPs &amp; Fuel EFs'!$E$11</f>
        <v>0</v>
      </c>
    </row>
    <row r="120" spans="1:14">
      <c r="A120" s="214"/>
      <c r="B120" s="214"/>
      <c r="D120" s="81" t="s">
        <v>396</v>
      </c>
      <c r="E120" s="94" t="s">
        <v>69</v>
      </c>
      <c r="F120" s="95">
        <f>'GIS Heat Input'!H70</f>
        <v>2402824.5636494425</v>
      </c>
      <c r="G120" s="28"/>
      <c r="H120" s="80">
        <f>F120*'GWPs &amp; Fuel EFs'!$N$23</f>
        <v>496888745.90485728</v>
      </c>
      <c r="I120" s="28"/>
      <c r="J120" s="80">
        <f>F120*'GWPs &amp; Fuel EFs'!$M$51</f>
        <v>38140.713971374971</v>
      </c>
      <c r="K120" s="80">
        <f>J120*'GWPs &amp; Fuel EFs'!$D$11</f>
        <v>953517.84928437427</v>
      </c>
      <c r="L120" s="28"/>
      <c r="M120" s="80">
        <f>F120*'GWPs &amp; Fuel EFs'!$M$79</f>
        <v>19070.356985687486</v>
      </c>
      <c r="N120" s="80">
        <f>M120*'GWPs &amp; Fuel EFs'!$E$11</f>
        <v>5682966.3817348704</v>
      </c>
    </row>
    <row r="121" spans="1:14">
      <c r="A121" s="214"/>
      <c r="B121" s="214"/>
      <c r="D121" s="81" t="s">
        <v>2287</v>
      </c>
      <c r="E121" s="94" t="s">
        <v>68</v>
      </c>
      <c r="F121" s="95">
        <f>'GIS Heat Input'!H71</f>
        <v>137244.45667000092</v>
      </c>
      <c r="G121" s="28"/>
      <c r="H121" s="80">
        <f>F121*'GWPs &amp; Fuel EFs'!$N$27</f>
        <v>15754936.205858383</v>
      </c>
      <c r="I121" s="28"/>
      <c r="J121" s="80">
        <f>F121*'GWPs &amp; Fuel EFs'!$M$55</f>
        <v>968.23114766174047</v>
      </c>
      <c r="K121" s="80">
        <f>J121*'GWPs &amp; Fuel EFs'!$D$11</f>
        <v>24205.77869154351</v>
      </c>
      <c r="L121" s="28"/>
      <c r="M121" s="80">
        <f>F121*'GWPs &amp; Fuel EFs'!$M$83</f>
        <v>190.62050719590513</v>
      </c>
      <c r="N121" s="80">
        <f>M121*'GWPs &amp; Fuel EFs'!$E$11</f>
        <v>56804.91114437973</v>
      </c>
    </row>
    <row r="122" spans="1:14">
      <c r="A122" s="214"/>
      <c r="B122" s="233"/>
      <c r="D122" s="28"/>
      <c r="E122" s="28"/>
      <c r="F122" s="80"/>
      <c r="G122" s="28"/>
      <c r="H122" s="83">
        <f>SUM(H118:H121)</f>
        <v>549694487.8212924</v>
      </c>
      <c r="I122" s="28"/>
      <c r="J122" s="28"/>
      <c r="K122" s="83">
        <f>SUM(K118:K121)</f>
        <v>1034648.2382475933</v>
      </c>
      <c r="L122" s="28"/>
      <c r="M122" s="28"/>
      <c r="N122" s="83">
        <f>SUM(N118:N121)</f>
        <v>5873359.1220343038</v>
      </c>
    </row>
    <row r="123" spans="1:14">
      <c r="A123" s="214"/>
      <c r="B123" s="214"/>
    </row>
    <row r="124" spans="1:14">
      <c r="A124" s="13"/>
      <c r="B124" s="13"/>
      <c r="D124" s="84"/>
      <c r="E124" s="84"/>
      <c r="F124" s="84"/>
      <c r="G124" s="28"/>
      <c r="H124" s="84"/>
      <c r="I124" s="28"/>
      <c r="J124" s="84"/>
      <c r="K124" s="84"/>
      <c r="L124" s="28"/>
      <c r="M124" s="84"/>
      <c r="N124" s="84"/>
    </row>
    <row r="125" spans="1:14" ht="13">
      <c r="A125" s="802" t="s">
        <v>1560</v>
      </c>
      <c r="B125" s="802"/>
      <c r="D125" s="791" t="s">
        <v>224</v>
      </c>
      <c r="E125" s="791"/>
      <c r="F125" s="791"/>
      <c r="G125" s="28"/>
      <c r="H125" s="77" t="s">
        <v>224</v>
      </c>
      <c r="I125" s="28"/>
      <c r="J125" s="791" t="s">
        <v>224</v>
      </c>
      <c r="K125" s="791"/>
      <c r="L125" s="28"/>
      <c r="M125" s="791" t="s">
        <v>224</v>
      </c>
      <c r="N125" s="791"/>
    </row>
    <row r="126" spans="1:14" ht="13">
      <c r="A126" s="802">
        <f>A108</f>
        <v>2021</v>
      </c>
      <c r="B126" s="802"/>
      <c r="D126" s="791" t="s">
        <v>207</v>
      </c>
      <c r="E126" s="791"/>
      <c r="F126" s="791"/>
      <c r="G126" s="28"/>
      <c r="H126" s="77" t="s">
        <v>208</v>
      </c>
      <c r="I126" s="28"/>
      <c r="J126" s="791" t="s">
        <v>209</v>
      </c>
      <c r="K126" s="791"/>
      <c r="L126" s="28"/>
      <c r="M126" s="791" t="s">
        <v>210</v>
      </c>
      <c r="N126" s="791"/>
    </row>
    <row r="127" spans="1:14" s="12" customFormat="1" ht="42.75" customHeight="1">
      <c r="A127" s="227"/>
      <c r="B127" s="228" t="s">
        <v>333</v>
      </c>
      <c r="D127" s="79" t="s">
        <v>211</v>
      </c>
      <c r="E127" s="79" t="s">
        <v>212</v>
      </c>
      <c r="F127" s="79" t="str">
        <f>F16</f>
        <v>Heat Input from GIS certificates (MMBtu)</v>
      </c>
      <c r="G127" s="28"/>
      <c r="H127" s="66" t="s">
        <v>331</v>
      </c>
      <c r="I127" s="78"/>
      <c r="J127" s="66" t="s">
        <v>332</v>
      </c>
      <c r="K127" s="66" t="s">
        <v>333</v>
      </c>
      <c r="L127" s="78"/>
      <c r="M127" s="66" t="s">
        <v>334</v>
      </c>
      <c r="N127" s="66" t="s">
        <v>333</v>
      </c>
    </row>
    <row r="128" spans="1:14" ht="12.75" customHeight="1">
      <c r="A128" s="229" t="s">
        <v>214</v>
      </c>
      <c r="B128" s="230">
        <f>SUM(B129:B133)+F132+F133</f>
        <v>-7017619.6942410097</v>
      </c>
      <c r="D128" s="66" t="s">
        <v>215</v>
      </c>
      <c r="E128" s="66"/>
      <c r="F128" s="66"/>
      <c r="G128" s="28"/>
      <c r="H128" s="28"/>
      <c r="I128" s="28"/>
      <c r="J128" s="78"/>
      <c r="K128" s="78"/>
      <c r="L128" s="28"/>
      <c r="M128" s="78"/>
      <c r="N128" s="78"/>
    </row>
    <row r="129" spans="1:14">
      <c r="A129" s="214" t="s">
        <v>1401</v>
      </c>
      <c r="B129" s="231">
        <f>H133</f>
        <v>-47848018.63594909</v>
      </c>
      <c r="D129" s="81" t="s">
        <v>381</v>
      </c>
      <c r="E129" s="94" t="s">
        <v>46</v>
      </c>
      <c r="F129" s="95">
        <f>'GIS Heat Input'!H76</f>
        <v>0</v>
      </c>
      <c r="G129" s="28"/>
      <c r="H129" s="80">
        <f>F129*'GWPs &amp; Fuel EFs'!$N$7</f>
        <v>0</v>
      </c>
      <c r="I129" s="28"/>
      <c r="J129" s="80">
        <f>F129*'GWPs &amp; Fuel EFs'!$M$35</f>
        <v>0</v>
      </c>
      <c r="K129" s="80">
        <f>J129*'GWPs &amp; Fuel EFs'!$D$11</f>
        <v>0</v>
      </c>
      <c r="L129" s="28"/>
      <c r="M129" s="80">
        <f>F129*'GWPs &amp; Fuel EFs'!$M$63</f>
        <v>0</v>
      </c>
      <c r="N129" s="80">
        <f>M129*'GWPs &amp; Fuel EFs'!$E$11</f>
        <v>0</v>
      </c>
    </row>
    <row r="130" spans="1:14">
      <c r="A130" s="214" t="s">
        <v>216</v>
      </c>
      <c r="B130" s="231">
        <f>K133</f>
        <v>-22608.238281599271</v>
      </c>
      <c r="D130" s="81" t="s">
        <v>380</v>
      </c>
      <c r="E130" s="94" t="s">
        <v>39</v>
      </c>
      <c r="F130" s="95">
        <f>'GIS Heat Input'!H77</f>
        <v>-410196.97569100093</v>
      </c>
      <c r="G130" s="28"/>
      <c r="H130" s="80">
        <f>F130*'GWPs &amp; Fuel EFs'!$N$8</f>
        <v>-47848018.63594909</v>
      </c>
      <c r="I130" s="28"/>
      <c r="J130" s="80">
        <f>F130*'GWPs &amp; Fuel EFs'!$M$36</f>
        <v>-904.32953126397081</v>
      </c>
      <c r="K130" s="80">
        <f>J130*'GWPs &amp; Fuel EFs'!$D$11</f>
        <v>-22608.238281599271</v>
      </c>
      <c r="L130" s="28"/>
      <c r="M130" s="80">
        <f>F130*'GWPs &amp; Fuel EFs'!$M$64</f>
        <v>-90.432953126397081</v>
      </c>
      <c r="N130" s="80">
        <f>M130*'GWPs &amp; Fuel EFs'!$E$11</f>
        <v>-26949.020031666329</v>
      </c>
    </row>
    <row r="131" spans="1:14">
      <c r="A131" s="214" t="s">
        <v>217</v>
      </c>
      <c r="B131" s="231">
        <f>N133</f>
        <v>-26949.020031666329</v>
      </c>
      <c r="D131" s="81" t="s">
        <v>394</v>
      </c>
      <c r="E131" s="94" t="s">
        <v>17</v>
      </c>
      <c r="F131" s="95">
        <f>'GIS Heat Input'!H78</f>
        <v>0</v>
      </c>
      <c r="G131" s="28"/>
      <c r="H131" s="80">
        <f>F131*'GWPs &amp; Fuel EFs'!$N$9</f>
        <v>0</v>
      </c>
      <c r="I131" s="28"/>
      <c r="J131" s="80">
        <f>F131*'GWPs &amp; Fuel EFs'!$M$37</f>
        <v>0</v>
      </c>
      <c r="K131" s="80">
        <f>J131*'GWPs &amp; Fuel EFs'!$D$11</f>
        <v>0</v>
      </c>
      <c r="L131" s="28"/>
      <c r="M131" s="80">
        <f>F131*'GWPs &amp; Fuel EFs'!$M$65</f>
        <v>0</v>
      </c>
      <c r="N131" s="80">
        <f>M131*'GWPs &amp; Fuel EFs'!$E$11</f>
        <v>0</v>
      </c>
    </row>
    <row r="132" spans="1:14">
      <c r="A132" s="214" t="s">
        <v>218</v>
      </c>
      <c r="B132" s="231">
        <f>K142</f>
        <v>-2527507.2073088246</v>
      </c>
      <c r="D132" s="135" t="s">
        <v>2292</v>
      </c>
      <c r="E132" s="136" t="s">
        <v>2291</v>
      </c>
      <c r="F132" s="163">
        <f>GIS!AH238*'State &amp; Province Summary'!H35</f>
        <v>58061766.945646547</v>
      </c>
      <c r="G132" s="28"/>
      <c r="H132" s="83"/>
      <c r="I132" s="28"/>
      <c r="J132" s="80"/>
      <c r="K132" s="83"/>
      <c r="L132" s="28"/>
      <c r="M132" s="80"/>
      <c r="N132" s="83"/>
    </row>
    <row r="133" spans="1:14">
      <c r="A133" s="214" t="s">
        <v>219</v>
      </c>
      <c r="B133" s="231">
        <f>N142</f>
        <v>-14654303.538316373</v>
      </c>
      <c r="D133" s="135" t="s">
        <v>2289</v>
      </c>
      <c r="E133" s="136" t="s">
        <v>2291</v>
      </c>
      <c r="F133" s="163">
        <f>GIS!AH290*'State &amp; Province Summary'!H41</f>
        <v>0</v>
      </c>
      <c r="G133" s="28"/>
      <c r="H133" s="83">
        <f>SUM(H129:H131)</f>
        <v>-47848018.63594909</v>
      </c>
      <c r="I133" s="28"/>
      <c r="J133" s="80"/>
      <c r="K133" s="83">
        <f>SUM(K129:K131)</f>
        <v>-22608.238281599271</v>
      </c>
      <c r="L133" s="28"/>
      <c r="M133" s="80"/>
      <c r="N133" s="83">
        <f>SUM(N129:N131)</f>
        <v>-26949.020031666329</v>
      </c>
    </row>
    <row r="134" spans="1:14">
      <c r="A134" s="214"/>
      <c r="B134" s="214"/>
    </row>
    <row r="135" spans="1:14" ht="13">
      <c r="A135" s="232" t="s">
        <v>220</v>
      </c>
      <c r="B135" s="230">
        <f>H142</f>
        <v>-1286327096.7161608</v>
      </c>
      <c r="D135" s="66" t="s">
        <v>221</v>
      </c>
      <c r="E135" s="28"/>
      <c r="F135" s="80"/>
      <c r="G135" s="28"/>
      <c r="H135" s="83"/>
      <c r="I135" s="28"/>
      <c r="J135" s="80"/>
      <c r="K135" s="83"/>
      <c r="L135" s="28"/>
      <c r="M135" s="80"/>
      <c r="N135" s="83"/>
    </row>
    <row r="136" spans="1:14">
      <c r="A136" s="214"/>
      <c r="B136" s="233"/>
      <c r="D136" s="81" t="s">
        <v>388</v>
      </c>
      <c r="E136" s="94" t="s">
        <v>63</v>
      </c>
      <c r="F136" s="95">
        <f>'GIS Heat Input'!H80</f>
        <v>-642805.34930133098</v>
      </c>
      <c r="G136" s="28"/>
      <c r="H136" s="80">
        <f>F136*'GWPs &amp; Fuel EFs'!$N$20</f>
        <v>-73790647.117922068</v>
      </c>
      <c r="I136" s="28"/>
      <c r="J136" s="80">
        <f>F136*'GWPs &amp; Fuel EFs'!$M$48</f>
        <v>-4534.8582826454895</v>
      </c>
      <c r="K136" s="80">
        <f>J136*'GWPs &amp; Fuel EFs'!$D$11</f>
        <v>-113371.45706613724</v>
      </c>
      <c r="L136" s="28"/>
      <c r="M136" s="80">
        <f>F136*'GWPs &amp; Fuel EFs'!$M$76</f>
        <v>-892.8002243958307</v>
      </c>
      <c r="N136" s="80">
        <f>M136*'GWPs &amp; Fuel EFs'!$E$11</f>
        <v>-266054.46686995757</v>
      </c>
    </row>
    <row r="137" spans="1:14">
      <c r="A137" s="214"/>
      <c r="B137" s="214"/>
      <c r="D137" s="81" t="s">
        <v>391</v>
      </c>
      <c r="E137" s="94" t="s">
        <v>16</v>
      </c>
      <c r="F137" s="95">
        <f>'GIS Heat Input'!H81</f>
        <v>0</v>
      </c>
      <c r="G137" s="28"/>
      <c r="H137" s="80">
        <f>F137*'GWPs &amp; Fuel EFs'!$N$21</f>
        <v>0</v>
      </c>
      <c r="I137" s="28"/>
      <c r="J137" s="80">
        <f>F137*'GWPs &amp; Fuel EFs'!$M$49</f>
        <v>0</v>
      </c>
      <c r="K137" s="80">
        <f>J137*'GWPs &amp; Fuel EFs'!$D$11</f>
        <v>0</v>
      </c>
      <c r="L137" s="28"/>
      <c r="M137" s="80">
        <f>F137*'GWPs &amp; Fuel EFs'!$M$77</f>
        <v>0</v>
      </c>
      <c r="N137" s="80">
        <f>M137*'GWPs &amp; Fuel EFs'!$E$11</f>
        <v>0</v>
      </c>
    </row>
    <row r="138" spans="1:14">
      <c r="A138" s="214"/>
      <c r="B138" s="214"/>
      <c r="D138" s="81" t="s">
        <v>396</v>
      </c>
      <c r="E138" s="94" t="s">
        <v>69</v>
      </c>
      <c r="F138" s="95">
        <f>'GIS Heat Input'!H82</f>
        <v>-6083519.7631810745</v>
      </c>
      <c r="G138" s="28"/>
      <c r="H138" s="80">
        <f>F138*'GWPs &amp; Fuel EFs'!$N$23</f>
        <v>-1258032963.1820226</v>
      </c>
      <c r="I138" s="28"/>
      <c r="J138" s="80">
        <f>F138*'GWPs &amp; Fuel EFs'!$M$51</f>
        <v>-96565.430009707488</v>
      </c>
      <c r="K138" s="80">
        <f>J138*'GWPs &amp; Fuel EFs'!$D$11</f>
        <v>-2414135.7502426873</v>
      </c>
      <c r="L138" s="28"/>
      <c r="M138" s="80">
        <f>F138*'GWPs &amp; Fuel EFs'!$M$79</f>
        <v>-48282.715004853744</v>
      </c>
      <c r="N138" s="80">
        <f>M138*'GWPs &amp; Fuel EFs'!$E$11</f>
        <v>-14388249.071446415</v>
      </c>
    </row>
    <row r="139" spans="1:14">
      <c r="A139" s="214"/>
      <c r="B139" s="231"/>
      <c r="D139" s="81" t="s">
        <v>2287</v>
      </c>
      <c r="E139" s="94" t="s">
        <v>68</v>
      </c>
      <c r="F139" s="95">
        <f>'GIS Heat Input'!H83</f>
        <v>-1228.072817384674</v>
      </c>
      <c r="G139" s="28"/>
      <c r="H139" s="80">
        <f>F139*'GWPs &amp; Fuel EFs'!$N$27</f>
        <v>-140976.25043295076</v>
      </c>
      <c r="I139" s="28"/>
      <c r="J139" s="80">
        <f>F139*'GWPs &amp; Fuel EFs'!$M$55</f>
        <v>-8.6637987590828214</v>
      </c>
      <c r="K139" s="80">
        <f>J139*'GWPs &amp; Fuel EFs'!$D$11</f>
        <v>-216.59496897707052</v>
      </c>
      <c r="L139" s="28"/>
      <c r="M139" s="80">
        <f>F139*'GWPs &amp; Fuel EFs'!$M$83</f>
        <v>-1.7056853806944301</v>
      </c>
      <c r="N139" s="80">
        <f>M139*'GWPs &amp; Fuel EFs'!$E$11</f>
        <v>-508.29424344694019</v>
      </c>
    </row>
    <row r="140" spans="1:14">
      <c r="A140" s="214"/>
      <c r="B140" s="231"/>
      <c r="D140" s="135" t="s">
        <v>2292</v>
      </c>
      <c r="E140" s="136" t="s">
        <v>2539</v>
      </c>
      <c r="F140" s="143">
        <f>GIS!AH238*'State &amp; Province Summary'!H36</f>
        <v>3862545.6338705695</v>
      </c>
      <c r="G140" s="28"/>
      <c r="H140" s="80">
        <f>F140</f>
        <v>3862545.6338705695</v>
      </c>
      <c r="I140" s="28"/>
      <c r="J140" s="80"/>
      <c r="K140" s="80"/>
      <c r="L140" s="28"/>
      <c r="M140" s="80"/>
      <c r="N140" s="80"/>
    </row>
    <row r="141" spans="1:14">
      <c r="A141" s="214"/>
      <c r="B141" s="231"/>
      <c r="D141" s="135" t="s">
        <v>2289</v>
      </c>
      <c r="E141" s="136" t="s">
        <v>2539</v>
      </c>
      <c r="F141" s="143">
        <f>GIS!AN290*'State &amp; Province Summary'!H42</f>
        <v>41774944.200346202</v>
      </c>
      <c r="G141" s="28"/>
      <c r="H141" s="80">
        <f>F141</f>
        <v>41774944.200346202</v>
      </c>
      <c r="I141" s="28"/>
      <c r="J141" s="80"/>
      <c r="K141" s="80"/>
      <c r="L141" s="28"/>
      <c r="M141" s="80"/>
      <c r="N141" s="80"/>
    </row>
    <row r="142" spans="1:14">
      <c r="A142" s="214"/>
      <c r="B142" s="231"/>
      <c r="D142" s="28"/>
      <c r="E142" s="28"/>
      <c r="F142" s="28"/>
      <c r="G142" s="28"/>
      <c r="H142" s="83">
        <f>SUM(H136:H141)</f>
        <v>-1286327096.7161608</v>
      </c>
      <c r="I142" s="28"/>
      <c r="J142" s="80"/>
      <c r="K142" s="83">
        <f>SUM(K136:K138)</f>
        <v>-2527507.2073088246</v>
      </c>
      <c r="L142" s="28"/>
      <c r="M142" s="80"/>
      <c r="N142" s="83">
        <f>SUM(N136:N138)</f>
        <v>-14654303.538316373</v>
      </c>
    </row>
    <row r="143" spans="1:14">
      <c r="A143" s="214"/>
      <c r="B143" s="214"/>
    </row>
    <row r="144" spans="1:14">
      <c r="A144" s="13"/>
      <c r="B144" s="13"/>
      <c r="D144" s="84"/>
      <c r="E144" s="84"/>
      <c r="F144" s="84"/>
      <c r="G144" s="28"/>
      <c r="H144" s="84"/>
      <c r="I144" s="28"/>
      <c r="J144" s="84"/>
      <c r="K144" s="84"/>
      <c r="L144" s="28"/>
      <c r="M144" s="84"/>
      <c r="N144" s="84"/>
    </row>
    <row r="145" spans="1:14" ht="13">
      <c r="A145" s="802" t="s">
        <v>3717</v>
      </c>
      <c r="B145" s="802"/>
      <c r="D145" s="791" t="s">
        <v>228</v>
      </c>
      <c r="E145" s="791"/>
      <c r="F145" s="791"/>
      <c r="G145" s="28"/>
      <c r="H145" s="77" t="s">
        <v>228</v>
      </c>
      <c r="I145" s="28"/>
      <c r="J145" s="791" t="s">
        <v>228</v>
      </c>
      <c r="K145" s="791"/>
      <c r="L145" s="28"/>
      <c r="M145" s="791" t="s">
        <v>228</v>
      </c>
      <c r="N145" s="791"/>
    </row>
    <row r="146" spans="1:14" ht="13">
      <c r="A146" s="802">
        <f>A126</f>
        <v>2021</v>
      </c>
      <c r="B146" s="802"/>
      <c r="D146" s="791"/>
      <c r="E146" s="791"/>
      <c r="F146" s="791"/>
      <c r="G146" s="28"/>
      <c r="H146" s="77" t="s">
        <v>208</v>
      </c>
      <c r="I146" s="28"/>
      <c r="J146" s="791" t="s">
        <v>209</v>
      </c>
      <c r="K146" s="791"/>
      <c r="L146" s="28"/>
      <c r="M146" s="791" t="s">
        <v>210</v>
      </c>
      <c r="N146" s="791"/>
    </row>
    <row r="147" spans="1:14" s="12" customFormat="1" ht="42.75" customHeight="1">
      <c r="A147" s="227"/>
      <c r="B147" s="228" t="s">
        <v>333</v>
      </c>
      <c r="D147" s="79" t="s">
        <v>211</v>
      </c>
      <c r="E147" s="79" t="s">
        <v>2290</v>
      </c>
      <c r="F147" s="66" t="str">
        <f>F16</f>
        <v>Heat Input from GIS certificates (MMBtu)</v>
      </c>
      <c r="G147" s="28"/>
      <c r="H147" s="66" t="s">
        <v>331</v>
      </c>
      <c r="I147" s="78"/>
      <c r="J147" s="66" t="s">
        <v>332</v>
      </c>
      <c r="K147" s="66" t="s">
        <v>333</v>
      </c>
      <c r="L147" s="28"/>
      <c r="M147" s="66" t="s">
        <v>334</v>
      </c>
      <c r="N147" s="66" t="s">
        <v>333</v>
      </c>
    </row>
    <row r="148" spans="1:14" ht="12.75" customHeight="1">
      <c r="A148" s="229" t="s">
        <v>214</v>
      </c>
      <c r="B148" s="230">
        <f>SUM(B149:B150)+F149</f>
        <v>-13478481.875409078</v>
      </c>
      <c r="D148" s="66" t="s">
        <v>215</v>
      </c>
      <c r="E148" s="88"/>
      <c r="F148" s="93"/>
      <c r="G148" s="28"/>
      <c r="H148" s="28"/>
      <c r="I148" s="28"/>
      <c r="J148" s="66"/>
      <c r="K148" s="66"/>
      <c r="L148" s="28"/>
      <c r="M148" s="66"/>
      <c r="N148" s="66"/>
    </row>
    <row r="149" spans="1:14" ht="12.75" customHeight="1">
      <c r="A149" s="214" t="s">
        <v>218</v>
      </c>
      <c r="B149" s="231">
        <f>K154</f>
        <v>-865519.49729133304</v>
      </c>
      <c r="D149" s="135" t="s">
        <v>2289</v>
      </c>
      <c r="E149" s="136" t="s">
        <v>2291</v>
      </c>
      <c r="F149" s="137">
        <f>-(GIS!AO290*'State &amp; Province Summary'!H41)</f>
        <v>-7950927.029367717</v>
      </c>
      <c r="G149" s="28"/>
      <c r="H149" s="28"/>
      <c r="I149" s="28"/>
      <c r="J149" s="66"/>
      <c r="K149" s="66"/>
      <c r="L149" s="28"/>
      <c r="M149" s="66"/>
      <c r="N149" s="66"/>
    </row>
    <row r="150" spans="1:14" ht="14.25" customHeight="1">
      <c r="A150" s="214" t="s">
        <v>219</v>
      </c>
      <c r="B150" s="231">
        <f>N154</f>
        <v>-4662035.3487500288</v>
      </c>
      <c r="D150" s="87" t="s">
        <v>221</v>
      </c>
      <c r="E150" s="28"/>
      <c r="F150" s="28"/>
      <c r="G150" s="28"/>
      <c r="H150" s="80"/>
      <c r="I150" s="28"/>
      <c r="J150" s="78"/>
      <c r="K150" s="78"/>
      <c r="L150" s="28"/>
      <c r="M150" s="78"/>
      <c r="N150" s="78"/>
    </row>
    <row r="151" spans="1:14" ht="14.25" customHeight="1">
      <c r="A151" s="232" t="s">
        <v>220</v>
      </c>
      <c r="B151" s="230">
        <f>H154</f>
        <v>-510636340.41288447</v>
      </c>
      <c r="D151" s="81" t="s">
        <v>1283</v>
      </c>
      <c r="E151" s="28"/>
      <c r="F151" s="80">
        <f>'GIS Heat Input'!H116</f>
        <v>-779045.37490051845</v>
      </c>
      <c r="G151" s="28"/>
      <c r="H151" s="80">
        <f>'GWPs &amp; Fuel EFs'!N20*F151</f>
        <v>-89430279.96051313</v>
      </c>
      <c r="I151" s="28"/>
      <c r="J151" s="80">
        <f>F151*'GWPs &amp; Fuel EFs'!M48</f>
        <v>-5496.0033776386026</v>
      </c>
      <c r="K151" s="80">
        <f>J151*'GWPs &amp; Fuel EFs'!$D$11</f>
        <v>-137400.08444096506</v>
      </c>
      <c r="L151" s="28"/>
      <c r="M151" s="80">
        <f>F151*'GWPs &amp; Fuel EFs'!M76</f>
        <v>-1082.0256649725998</v>
      </c>
      <c r="N151" s="80">
        <f>M151*'GWPs &amp; Fuel EFs'!$E$11</f>
        <v>-322443.64816183475</v>
      </c>
    </row>
    <row r="152" spans="1:14">
      <c r="A152" s="214"/>
      <c r="B152" s="231"/>
      <c r="D152" s="81" t="s">
        <v>1165</v>
      </c>
      <c r="E152" s="28"/>
      <c r="F152" s="80">
        <f>'GIS Heat Input'!H118</f>
        <v>-1834830.0577487096</v>
      </c>
      <c r="G152" s="28"/>
      <c r="H152" s="80">
        <f>F152*'GWPs &amp; Fuel EFs'!N23</f>
        <v>-379431116.25202513</v>
      </c>
      <c r="I152" s="28"/>
      <c r="J152" s="80">
        <f>F152*'GWPs &amp; Fuel EFs'!M51</f>
        <v>-29124.77651401472</v>
      </c>
      <c r="K152" s="80">
        <f>J152*'GWPs &amp; Fuel EFs'!$D$11</f>
        <v>-728119.41285036795</v>
      </c>
      <c r="L152" s="28"/>
      <c r="M152" s="80">
        <f>F152*'GWPs &amp; Fuel EFs'!M79</f>
        <v>-14562.38825700736</v>
      </c>
      <c r="N152" s="80">
        <f>M152*'GWPs &amp; Fuel EFs'!$E$11</f>
        <v>-4339591.7005881937</v>
      </c>
    </row>
    <row r="153" spans="1:14">
      <c r="A153" s="214"/>
      <c r="B153" s="231"/>
      <c r="D153" s="135" t="s">
        <v>2289</v>
      </c>
      <c r="E153" s="136" t="s">
        <v>2539</v>
      </c>
      <c r="F153" s="143">
        <f>-(GIS!AO290*'State &amp; Province Summary'!H42)</f>
        <v>-41774944.200346202</v>
      </c>
      <c r="G153" s="28"/>
      <c r="H153" s="80">
        <f>F153</f>
        <v>-41774944.200346202</v>
      </c>
      <c r="I153" s="28"/>
      <c r="J153" s="80"/>
      <c r="K153" s="80"/>
      <c r="L153" s="28"/>
      <c r="M153" s="80"/>
      <c r="N153" s="80"/>
    </row>
    <row r="154" spans="1:14">
      <c r="A154" s="214"/>
      <c r="B154" s="231"/>
      <c r="D154" s="81"/>
      <c r="E154" s="28"/>
      <c r="F154" s="28"/>
      <c r="G154" s="28"/>
      <c r="H154" s="83">
        <f>SUM(H151:H153)</f>
        <v>-510636340.41288447</v>
      </c>
      <c r="I154" s="28"/>
      <c r="J154" s="87"/>
      <c r="K154" s="83">
        <f>SUM(K148:K152)</f>
        <v>-865519.49729133304</v>
      </c>
      <c r="L154" s="28"/>
      <c r="M154" s="87"/>
      <c r="N154" s="83">
        <f>SUM(N148:N152)</f>
        <v>-4662035.3487500288</v>
      </c>
    </row>
    <row r="155" spans="1:14">
      <c r="A155" s="214"/>
      <c r="B155" s="214"/>
      <c r="D155" s="28"/>
      <c r="E155" s="28"/>
      <c r="F155" s="90"/>
      <c r="G155" s="28"/>
      <c r="H155" s="80"/>
      <c r="I155" s="28"/>
      <c r="J155" s="66"/>
      <c r="K155" s="66"/>
      <c r="L155" s="28"/>
      <c r="M155" s="66"/>
      <c r="N155" s="66"/>
    </row>
    <row r="156" spans="1:14">
      <c r="A156" s="13"/>
      <c r="B156" s="13"/>
      <c r="D156" s="84"/>
      <c r="E156" s="84"/>
      <c r="F156" s="84"/>
      <c r="G156" s="28"/>
      <c r="H156" s="84"/>
      <c r="I156" s="28"/>
      <c r="J156" s="84"/>
      <c r="K156" s="84"/>
      <c r="L156" s="28"/>
      <c r="M156" s="84"/>
      <c r="N156" s="84"/>
    </row>
    <row r="157" spans="1:14" ht="13">
      <c r="A157" s="802" t="s">
        <v>2513</v>
      </c>
      <c r="B157" s="802"/>
      <c r="D157" s="791" t="s">
        <v>2542</v>
      </c>
      <c r="E157" s="791"/>
      <c r="F157" s="791"/>
      <c r="G157" s="28"/>
      <c r="H157" s="77"/>
      <c r="I157" s="28"/>
      <c r="J157" s="87"/>
      <c r="K157" s="87"/>
      <c r="L157" s="28"/>
      <c r="M157" s="87"/>
      <c r="N157" s="87"/>
    </row>
    <row r="158" spans="1:14" ht="13">
      <c r="A158" s="802">
        <f>A146</f>
        <v>2021</v>
      </c>
      <c r="B158" s="802"/>
      <c r="D158" s="791"/>
      <c r="E158" s="791"/>
      <c r="F158" s="791"/>
      <c r="G158" s="28"/>
      <c r="H158" s="28"/>
      <c r="I158" s="28"/>
      <c r="J158" s="87"/>
      <c r="K158" s="87"/>
      <c r="L158" s="28"/>
      <c r="M158" s="87"/>
      <c r="N158" s="87"/>
    </row>
    <row r="159" spans="1:14" ht="42" customHeight="1">
      <c r="A159" s="227"/>
      <c r="B159" s="228" t="s">
        <v>333</v>
      </c>
      <c r="D159" s="79"/>
      <c r="E159" s="79" t="s">
        <v>2290</v>
      </c>
      <c r="F159" s="66" t="str">
        <f>F16</f>
        <v>Heat Input from GIS certificates (MMBtu)</v>
      </c>
      <c r="G159" s="28"/>
      <c r="H159" s="66"/>
      <c r="I159" s="28"/>
      <c r="J159" s="66"/>
      <c r="K159" s="66"/>
      <c r="L159" s="28"/>
      <c r="M159" s="66"/>
      <c r="N159" s="66"/>
    </row>
    <row r="160" spans="1:14" ht="13">
      <c r="A160" s="229" t="s">
        <v>214</v>
      </c>
      <c r="B160" s="230">
        <f>F161</f>
        <v>0</v>
      </c>
      <c r="D160" s="66" t="s">
        <v>215</v>
      </c>
      <c r="E160" s="88"/>
      <c r="F160" s="88"/>
      <c r="G160" s="28"/>
      <c r="H160" s="28"/>
      <c r="I160" s="28"/>
      <c r="J160" s="78"/>
      <c r="K160" s="78"/>
      <c r="L160" s="28"/>
      <c r="M160" s="78"/>
      <c r="N160" s="78"/>
    </row>
    <row r="161" spans="1:14" ht="13">
      <c r="A161" s="232" t="s">
        <v>220</v>
      </c>
      <c r="B161" s="230">
        <f>F163</f>
        <v>0</v>
      </c>
      <c r="D161" s="135" t="s">
        <v>2545</v>
      </c>
      <c r="E161" s="136" t="s">
        <v>2291</v>
      </c>
      <c r="F161" s="137">
        <f>-(GIS!AO264*'State &amp; Province Summary'!H38)</f>
        <v>0</v>
      </c>
      <c r="G161" s="28"/>
      <c r="H161" s="80"/>
      <c r="I161" s="28"/>
      <c r="J161" s="28"/>
      <c r="K161" s="28"/>
      <c r="L161" s="28"/>
      <c r="M161" s="28"/>
      <c r="N161" s="28"/>
    </row>
    <row r="162" spans="1:14">
      <c r="A162" s="214"/>
      <c r="B162" s="231"/>
      <c r="D162" s="87" t="s">
        <v>221</v>
      </c>
      <c r="E162" s="28"/>
      <c r="F162" s="28"/>
      <c r="G162" s="91"/>
      <c r="H162" s="80"/>
      <c r="I162" s="28"/>
      <c r="J162" s="80"/>
      <c r="K162" s="80"/>
      <c r="L162" s="28"/>
      <c r="M162" s="80"/>
      <c r="N162" s="80"/>
    </row>
    <row r="163" spans="1:14">
      <c r="A163" s="214"/>
      <c r="B163" s="231"/>
      <c r="D163" s="135" t="s">
        <v>2545</v>
      </c>
      <c r="E163" s="136" t="s">
        <v>2539</v>
      </c>
      <c r="F163" s="143">
        <f>-(GIS!AO264*'State &amp; Province Summary'!H39)</f>
        <v>0</v>
      </c>
      <c r="G163" s="91"/>
      <c r="H163" s="80"/>
      <c r="I163" s="28"/>
      <c r="J163" s="80"/>
      <c r="K163" s="80"/>
      <c r="L163" s="28"/>
      <c r="M163" s="80"/>
      <c r="N163" s="80"/>
    </row>
    <row r="164" spans="1:14" ht="13">
      <c r="A164" s="229"/>
      <c r="B164" s="235"/>
      <c r="D164" s="28"/>
      <c r="E164" s="28"/>
      <c r="F164" s="28"/>
      <c r="G164" s="28"/>
      <c r="H164" s="83"/>
      <c r="I164" s="28"/>
      <c r="J164" s="80"/>
      <c r="K164" s="83"/>
      <c r="L164" s="28"/>
      <c r="M164" s="80"/>
      <c r="N164" s="83"/>
    </row>
    <row r="165" spans="1:14">
      <c r="A165" s="252"/>
      <c r="B165" s="252"/>
      <c r="C165" s="252"/>
      <c r="D165" s="252"/>
      <c r="E165" s="252"/>
      <c r="F165" s="252"/>
      <c r="G165" s="252"/>
      <c r="H165" s="252"/>
      <c r="I165" s="252"/>
      <c r="J165" s="252"/>
      <c r="K165" s="252"/>
      <c r="L165" s="252"/>
      <c r="M165" s="252"/>
      <c r="N165" s="252"/>
    </row>
    <row r="166" spans="1:14" ht="15.5">
      <c r="A166" s="249"/>
    </row>
    <row r="167" spans="1:14" ht="15.5">
      <c r="A167" s="249" t="s">
        <v>3092</v>
      </c>
    </row>
    <row r="168" spans="1:14">
      <c r="A168" s="20" t="s">
        <v>2762</v>
      </c>
    </row>
    <row r="169" spans="1:14">
      <c r="A169" s="20" t="s">
        <v>2763</v>
      </c>
    </row>
    <row r="170" spans="1:14">
      <c r="A170" s="20" t="s">
        <v>2777</v>
      </c>
      <c r="B170" s="20"/>
      <c r="C170" s="20"/>
      <c r="D170" s="20"/>
      <c r="E170" s="20"/>
      <c r="F170" s="20"/>
    </row>
    <row r="171" spans="1:14">
      <c r="A171" s="20"/>
      <c r="B171" s="20"/>
      <c r="C171" s="20"/>
      <c r="D171" s="20"/>
      <c r="E171" s="20"/>
      <c r="F171" s="20"/>
    </row>
    <row r="172" spans="1:14" ht="13">
      <c r="A172" s="166" t="s">
        <v>2728</v>
      </c>
      <c r="B172" s="167"/>
      <c r="C172" s="20"/>
      <c r="D172" s="77" t="s">
        <v>226</v>
      </c>
      <c r="E172" s="77"/>
      <c r="F172" s="77"/>
      <c r="G172" s="28"/>
      <c r="H172" s="77" t="s">
        <v>226</v>
      </c>
      <c r="I172" s="82"/>
      <c r="J172" s="77" t="s">
        <v>226</v>
      </c>
      <c r="K172" s="77"/>
      <c r="L172" s="82"/>
      <c r="M172" s="77" t="s">
        <v>226</v>
      </c>
      <c r="N172" s="77"/>
    </row>
    <row r="173" spans="1:14" ht="13">
      <c r="A173" s="167">
        <v>2021</v>
      </c>
      <c r="B173" s="167"/>
      <c r="C173" s="20"/>
      <c r="D173" s="77" t="s">
        <v>207</v>
      </c>
      <c r="E173" s="77"/>
      <c r="F173" s="77"/>
      <c r="G173" s="28"/>
      <c r="H173" s="77" t="s">
        <v>208</v>
      </c>
      <c r="I173" s="82"/>
      <c r="J173" s="77" t="s">
        <v>209</v>
      </c>
      <c r="K173" s="77"/>
      <c r="L173" s="82"/>
      <c r="M173" s="77" t="s">
        <v>210</v>
      </c>
      <c r="N173" s="77"/>
    </row>
    <row r="174" spans="1:14" ht="35.5">
      <c r="A174" s="168"/>
      <c r="B174" s="169" t="s">
        <v>333</v>
      </c>
      <c r="C174" s="598"/>
      <c r="D174" s="79" t="s">
        <v>211</v>
      </c>
      <c r="E174" s="79" t="s">
        <v>212</v>
      </c>
      <c r="F174" s="79" t="s">
        <v>2559</v>
      </c>
      <c r="G174" s="28"/>
      <c r="H174" s="79" t="s">
        <v>331</v>
      </c>
      <c r="I174" s="165"/>
      <c r="J174" s="79" t="s">
        <v>332</v>
      </c>
      <c r="K174" s="79" t="s">
        <v>333</v>
      </c>
      <c r="L174" s="165"/>
      <c r="M174" s="79" t="s">
        <v>334</v>
      </c>
      <c r="N174" s="79" t="s">
        <v>333</v>
      </c>
    </row>
    <row r="175" spans="1:14" ht="13">
      <c r="A175" s="170" t="s">
        <v>214</v>
      </c>
      <c r="B175" s="171">
        <f>SUM(B176:B180)</f>
        <v>12286728.741373649</v>
      </c>
      <c r="C175" s="20"/>
      <c r="D175" s="66" t="s">
        <v>215</v>
      </c>
      <c r="E175" s="66"/>
      <c r="F175" s="66"/>
      <c r="G175" s="28"/>
      <c r="H175" s="28"/>
      <c r="I175" s="28"/>
      <c r="J175" s="78"/>
      <c r="K175" s="78"/>
      <c r="L175" s="28"/>
      <c r="M175" s="78"/>
      <c r="N175" s="78"/>
    </row>
    <row r="176" spans="1:14">
      <c r="A176" s="421" t="s">
        <v>1401</v>
      </c>
      <c r="B176" s="172">
        <f>H179</f>
        <v>12284227.1</v>
      </c>
      <c r="C176" s="20"/>
      <c r="D176" s="81" t="s">
        <v>2534</v>
      </c>
      <c r="E176" s="94" t="s">
        <v>46</v>
      </c>
      <c r="F176" s="95">
        <f>'GIS Heat Input'!E28</f>
        <v>0</v>
      </c>
      <c r="G176" s="28"/>
      <c r="H176" s="80">
        <f>F176*'GWPs &amp; Fuel EFs'!$N$7</f>
        <v>0</v>
      </c>
      <c r="I176" s="28"/>
      <c r="J176" s="80">
        <f>F176*'GWPs &amp; Fuel EFs'!$M$35</f>
        <v>0</v>
      </c>
      <c r="K176" s="80">
        <f>J176*'GWPs &amp; Fuel EFs'!$D$11</f>
        <v>0</v>
      </c>
      <c r="L176" s="28"/>
      <c r="M176" s="80">
        <f>F176*'GWPs &amp; Fuel EFs'!$M$63</f>
        <v>0</v>
      </c>
      <c r="N176" s="80">
        <f>M176*'GWPs &amp; Fuel EFs'!$E$11</f>
        <v>0</v>
      </c>
    </row>
    <row r="177" spans="1:14">
      <c r="A177" s="421" t="s">
        <v>216</v>
      </c>
      <c r="B177" s="172">
        <f>K179</f>
        <v>0</v>
      </c>
      <c r="C177" s="20"/>
      <c r="D177" s="81" t="s">
        <v>380</v>
      </c>
      <c r="E177" s="94" t="s">
        <v>39</v>
      </c>
      <c r="F177" s="95">
        <f>'GIS Heat Input'!E29</f>
        <v>0</v>
      </c>
      <c r="G177" s="28"/>
      <c r="H177" s="80">
        <f>F177*'GWPs &amp; Fuel EFs'!$N$8</f>
        <v>0</v>
      </c>
      <c r="I177" s="28"/>
      <c r="J177" s="80">
        <f>F177*'GWPs &amp; Fuel EFs'!$M$36</f>
        <v>0</v>
      </c>
      <c r="K177" s="80">
        <f>J177*'GWPs &amp; Fuel EFs'!$D$11</f>
        <v>0</v>
      </c>
      <c r="L177" s="28"/>
      <c r="M177" s="80">
        <f>F177*'GWPs &amp; Fuel EFs'!$M$64</f>
        <v>0</v>
      </c>
      <c r="N177" s="80">
        <f>M177*'GWPs &amp; Fuel EFs'!$E$11</f>
        <v>0</v>
      </c>
    </row>
    <row r="178" spans="1:14">
      <c r="A178" s="421" t="s">
        <v>217</v>
      </c>
      <c r="B178" s="172">
        <f>N179</f>
        <v>0</v>
      </c>
      <c r="C178" s="20"/>
      <c r="D178" s="81" t="s">
        <v>394</v>
      </c>
      <c r="E178" s="94" t="s">
        <v>17</v>
      </c>
      <c r="F178" s="95">
        <f>'GIS Heat Input'!E30</f>
        <v>0</v>
      </c>
      <c r="G178" s="28"/>
      <c r="H178" s="80">
        <f>F178*'GWPs &amp; Fuel EFs'!$N$9</f>
        <v>0</v>
      </c>
      <c r="I178" s="28"/>
      <c r="J178" s="80">
        <f>F178*'GWPs &amp; Fuel EFs'!$M$37</f>
        <v>0</v>
      </c>
      <c r="K178" s="80">
        <f>J178*'GWPs &amp; Fuel EFs'!$D$11</f>
        <v>0</v>
      </c>
      <c r="L178" s="28"/>
      <c r="M178" s="80">
        <f>F178*'GWPs &amp; Fuel EFs'!$M$65</f>
        <v>0</v>
      </c>
      <c r="N178" s="80">
        <f>M178*'GWPs &amp; Fuel EFs'!$E$11</f>
        <v>0</v>
      </c>
    </row>
    <row r="179" spans="1:14">
      <c r="A179" s="421" t="s">
        <v>218</v>
      </c>
      <c r="B179" s="172">
        <f>K187</f>
        <v>747.48378984081421</v>
      </c>
      <c r="C179" s="20"/>
      <c r="D179" s="135" t="s">
        <v>3077</v>
      </c>
      <c r="E179" s="136" t="s">
        <v>3074</v>
      </c>
      <c r="F179" s="647" t="s">
        <v>3683</v>
      </c>
      <c r="G179" s="28"/>
      <c r="H179" s="143">
        <f>(GIS!Y75)*'GWPs &amp; Fuel EFs'!$E$34</f>
        <v>12284227.1</v>
      </c>
      <c r="I179" s="28"/>
      <c r="J179" s="80"/>
      <c r="K179" s="83">
        <f>SUM(K176:K178)</f>
        <v>0</v>
      </c>
      <c r="L179" s="28"/>
      <c r="M179" s="80"/>
      <c r="N179" s="83">
        <f>SUM(N176:N178)</f>
        <v>0</v>
      </c>
    </row>
    <row r="180" spans="1:14">
      <c r="A180" s="421" t="s">
        <v>219</v>
      </c>
      <c r="B180" s="172">
        <f>N187</f>
        <v>1754.1575838089304</v>
      </c>
      <c r="C180" s="20"/>
      <c r="D180" s="20"/>
      <c r="E180" s="20"/>
      <c r="F180" s="20"/>
      <c r="H180" s="83">
        <f>SUM(H176:H179)</f>
        <v>12284227.1</v>
      </c>
    </row>
    <row r="181" spans="1:14">
      <c r="A181" s="421"/>
      <c r="B181" s="421"/>
      <c r="C181" s="20"/>
      <c r="D181" s="20"/>
      <c r="E181" s="20"/>
      <c r="F181" s="20"/>
    </row>
    <row r="182" spans="1:14" ht="13">
      <c r="A182" s="173" t="s">
        <v>220</v>
      </c>
      <c r="B182" s="171">
        <f>H187</f>
        <v>486518.51171263994</v>
      </c>
      <c r="C182" s="20"/>
      <c r="D182" s="66" t="s">
        <v>221</v>
      </c>
      <c r="E182" s="28"/>
      <c r="F182" s="80"/>
      <c r="G182" s="28"/>
      <c r="H182" s="83"/>
      <c r="I182" s="28"/>
      <c r="J182" s="80"/>
      <c r="K182" s="83"/>
      <c r="L182" s="28"/>
      <c r="M182" s="80"/>
      <c r="N182" s="83"/>
    </row>
    <row r="183" spans="1:14">
      <c r="A183" s="421"/>
      <c r="B183" s="421"/>
      <c r="C183" s="20"/>
      <c r="D183" s="81" t="s">
        <v>388</v>
      </c>
      <c r="E183" s="94" t="s">
        <v>63</v>
      </c>
      <c r="F183" s="95">
        <f>'GIS Heat Input'!E32</f>
        <v>4238.1618006850431</v>
      </c>
      <c r="G183" s="28"/>
      <c r="H183" s="80">
        <f>F183*'GWPs &amp; Fuel EFs'!$N$20</f>
        <v>486518.51171263994</v>
      </c>
      <c r="I183" s="28"/>
      <c r="J183" s="80">
        <f>F183*'GWPs &amp; Fuel EFs'!$M$48</f>
        <v>29.899351593632566</v>
      </c>
      <c r="K183" s="80">
        <f>J183*'GWPs &amp; Fuel EFs'!$D$11</f>
        <v>747.48378984081421</v>
      </c>
      <c r="L183" s="28"/>
      <c r="M183" s="80">
        <f>F183*'GWPs &amp; Fuel EFs'!$M$76</f>
        <v>5.886434844996411</v>
      </c>
      <c r="N183" s="80">
        <f>M183*'GWPs &amp; Fuel EFs'!$E$11</f>
        <v>1754.1575838089304</v>
      </c>
    </row>
    <row r="184" spans="1:14">
      <c r="A184" s="421"/>
      <c r="B184" s="599"/>
      <c r="C184" s="20"/>
      <c r="D184" s="81" t="s">
        <v>391</v>
      </c>
      <c r="E184" s="94" t="s">
        <v>16</v>
      </c>
      <c r="F184" s="95">
        <f>'GIS Heat Input'!E33</f>
        <v>0</v>
      </c>
      <c r="G184" s="28"/>
      <c r="H184" s="80">
        <f>F184*'GWPs &amp; Fuel EFs'!$N$21</f>
        <v>0</v>
      </c>
      <c r="I184" s="28"/>
      <c r="J184" s="80">
        <f>F184*'GWPs &amp; Fuel EFs'!$M$49</f>
        <v>0</v>
      </c>
      <c r="K184" s="80">
        <f>J184*'GWPs &amp; Fuel EFs'!$D$11</f>
        <v>0</v>
      </c>
      <c r="L184" s="28"/>
      <c r="M184" s="80">
        <f>F184*'GWPs &amp; Fuel EFs'!$M$77</f>
        <v>0</v>
      </c>
      <c r="N184" s="80">
        <f>M184*'GWPs &amp; Fuel EFs'!$E$11</f>
        <v>0</v>
      </c>
    </row>
    <row r="185" spans="1:14">
      <c r="A185" s="421"/>
      <c r="B185" s="421"/>
      <c r="C185" s="20"/>
      <c r="D185" s="81" t="s">
        <v>396</v>
      </c>
      <c r="E185" s="94" t="s">
        <v>69</v>
      </c>
      <c r="F185" s="95">
        <f>'GIS Heat Input'!E34</f>
        <v>0</v>
      </c>
      <c r="G185" s="28"/>
      <c r="H185" s="80">
        <f>F185*'GWPs &amp; Fuel EFs'!$N$23</f>
        <v>0</v>
      </c>
      <c r="I185" s="28"/>
      <c r="J185" s="80">
        <f>F185*'GWPs &amp; Fuel EFs'!$M$51</f>
        <v>0</v>
      </c>
      <c r="K185" s="80">
        <f>J185*'GWPs &amp; Fuel EFs'!$D$11</f>
        <v>0</v>
      </c>
      <c r="L185" s="28"/>
      <c r="M185" s="80">
        <f>F185*'GWPs &amp; Fuel EFs'!$M$79</f>
        <v>0</v>
      </c>
      <c r="N185" s="80">
        <f>M185*'GWPs &amp; Fuel EFs'!$E$11</f>
        <v>0</v>
      </c>
    </row>
    <row r="186" spans="1:14">
      <c r="A186" s="421"/>
      <c r="B186" s="421"/>
      <c r="C186" s="20"/>
      <c r="D186" s="81" t="s">
        <v>2287</v>
      </c>
      <c r="E186" s="94" t="s">
        <v>68</v>
      </c>
      <c r="F186" s="95">
        <f>'GIS Heat Input'!E35</f>
        <v>0</v>
      </c>
      <c r="G186" s="28"/>
      <c r="H186" s="80">
        <f>F186*'GWPs &amp; Fuel EFs'!$N$27</f>
        <v>0</v>
      </c>
      <c r="I186" s="28"/>
      <c r="J186" s="80">
        <f>F186*'GWPs &amp; Fuel EFs'!$M$55</f>
        <v>0</v>
      </c>
      <c r="K186" s="80">
        <f>J186*'GWPs &amp; Fuel EFs'!$D$11</f>
        <v>0</v>
      </c>
      <c r="L186" s="28"/>
      <c r="M186" s="80">
        <f>F186*'GWPs &amp; Fuel EFs'!$M$83</f>
        <v>0</v>
      </c>
      <c r="N186" s="80">
        <f>M186*'GWPs &amp; Fuel EFs'!$E$11</f>
        <v>0</v>
      </c>
    </row>
    <row r="187" spans="1:14">
      <c r="A187" s="421"/>
      <c r="B187" s="172"/>
      <c r="C187" s="20"/>
      <c r="D187" s="28"/>
      <c r="E187" s="28"/>
      <c r="F187" s="80"/>
      <c r="G187" s="28"/>
      <c r="H187" s="83">
        <f>SUM(H183:H186)</f>
        <v>486518.51171263994</v>
      </c>
      <c r="I187" s="28"/>
      <c r="J187" s="28"/>
      <c r="K187" s="83">
        <f>SUM(K183:K186)</f>
        <v>747.48378984081421</v>
      </c>
      <c r="L187" s="28"/>
      <c r="M187" s="28"/>
      <c r="N187" s="83">
        <f>SUM(N183:N186)</f>
        <v>1754.1575838089304</v>
      </c>
    </row>
    <row r="188" spans="1:14">
      <c r="A188" s="421"/>
      <c r="B188" s="421"/>
      <c r="C188" s="20"/>
      <c r="D188" s="20"/>
      <c r="E188" s="20"/>
      <c r="F188" s="20"/>
    </row>
    <row r="189" spans="1:14">
      <c r="A189" s="600"/>
      <c r="B189" s="600"/>
      <c r="C189" s="600"/>
      <c r="D189" s="600"/>
      <c r="E189" s="600"/>
      <c r="F189" s="600"/>
      <c r="G189" s="174"/>
      <c r="H189" s="174"/>
      <c r="I189" s="174"/>
      <c r="J189" s="174"/>
      <c r="K189" s="174"/>
      <c r="L189" s="174"/>
      <c r="M189" s="174"/>
      <c r="N189" s="174"/>
    </row>
    <row r="190" spans="1:14" ht="13">
      <c r="A190" s="166" t="s">
        <v>2731</v>
      </c>
      <c r="B190" s="167"/>
      <c r="C190" s="20"/>
      <c r="D190" s="77" t="s">
        <v>206</v>
      </c>
      <c r="E190" s="77"/>
      <c r="F190" s="77"/>
      <c r="G190" s="28"/>
      <c r="H190" s="77" t="s">
        <v>206</v>
      </c>
      <c r="I190" s="77"/>
      <c r="J190" s="77" t="s">
        <v>206</v>
      </c>
      <c r="K190" s="77"/>
      <c r="L190" s="28"/>
      <c r="M190" s="77" t="s">
        <v>206</v>
      </c>
      <c r="N190" s="77"/>
    </row>
    <row r="191" spans="1:14" ht="13">
      <c r="A191" s="167">
        <f>A173</f>
        <v>2021</v>
      </c>
      <c r="B191" s="167"/>
      <c r="C191" s="20"/>
      <c r="D191" s="77" t="s">
        <v>207</v>
      </c>
      <c r="E191" s="77"/>
      <c r="F191" s="77"/>
      <c r="G191" s="78"/>
      <c r="H191" s="77" t="s">
        <v>208</v>
      </c>
      <c r="I191" s="77"/>
      <c r="J191" s="77" t="s">
        <v>209</v>
      </c>
      <c r="K191" s="77"/>
      <c r="L191" s="28"/>
      <c r="M191" s="77" t="s">
        <v>210</v>
      </c>
      <c r="N191" s="77"/>
    </row>
    <row r="192" spans="1:14" ht="35.5">
      <c r="A192" s="168"/>
      <c r="B192" s="169" t="s">
        <v>333</v>
      </c>
      <c r="C192" s="598"/>
      <c r="D192" s="79" t="s">
        <v>211</v>
      </c>
      <c r="E192" s="79" t="s">
        <v>212</v>
      </c>
      <c r="F192" s="79" t="str">
        <f>F174</f>
        <v>Net Heat Input Out of State from MSS Meters</v>
      </c>
      <c r="G192" s="28"/>
      <c r="H192" s="66" t="s">
        <v>331</v>
      </c>
      <c r="I192" s="78"/>
      <c r="J192" s="66" t="s">
        <v>332</v>
      </c>
      <c r="K192" s="66" t="s">
        <v>333</v>
      </c>
      <c r="L192" s="78"/>
      <c r="M192" s="66" t="s">
        <v>334</v>
      </c>
      <c r="N192" s="66" t="s">
        <v>333</v>
      </c>
    </row>
    <row r="193" spans="1:14" ht="13">
      <c r="A193" s="170" t="s">
        <v>214</v>
      </c>
      <c r="B193" s="171">
        <f>SUM(B194:B198)</f>
        <v>8783054.1923045013</v>
      </c>
      <c r="C193" s="598"/>
      <c r="D193" s="66" t="s">
        <v>215</v>
      </c>
      <c r="E193" s="78"/>
      <c r="F193" s="66"/>
      <c r="G193" s="80"/>
      <c r="H193" s="78"/>
      <c r="I193" s="78"/>
      <c r="J193" s="78"/>
      <c r="K193" s="78"/>
      <c r="L193" s="78"/>
      <c r="M193" s="78"/>
      <c r="N193" s="78"/>
    </row>
    <row r="194" spans="1:14">
      <c r="A194" s="421" t="s">
        <v>1401</v>
      </c>
      <c r="B194" s="172">
        <f>H197</f>
        <v>4089536.8586599305</v>
      </c>
      <c r="C194" s="20"/>
      <c r="D194" s="81" t="s">
        <v>2534</v>
      </c>
      <c r="E194" s="94" t="s">
        <v>46</v>
      </c>
      <c r="F194" s="95">
        <f>'GIS Heat Input'!E16</f>
        <v>7506.885006502961</v>
      </c>
      <c r="G194" s="28"/>
      <c r="H194" s="80">
        <f>F194*'GWPs &amp; Fuel EFs'!$N$7</f>
        <v>1227004.3089399303</v>
      </c>
      <c r="I194" s="28"/>
      <c r="J194" s="80">
        <f>F194*'GWPs &amp; Fuel EFs'!$M$35</f>
        <v>49.649545473225821</v>
      </c>
      <c r="K194" s="80">
        <f>J194*'GWPs &amp; Fuel EFs'!$D$11</f>
        <v>1241.2386368306454</v>
      </c>
      <c r="L194" s="28"/>
      <c r="M194" s="80">
        <f>F194*'GWPs &amp; Fuel EFs'!$M$63</f>
        <v>9.9299090946451631</v>
      </c>
      <c r="N194" s="80">
        <f>M194*'GWPs &amp; Fuel EFs'!$E$11</f>
        <v>2959.1129102042587</v>
      </c>
    </row>
    <row r="195" spans="1:14">
      <c r="A195" s="421" t="s">
        <v>216</v>
      </c>
      <c r="B195" s="172">
        <f>K197</f>
        <v>12156.46092448046</v>
      </c>
      <c r="C195" s="20"/>
      <c r="D195" s="81" t="s">
        <v>380</v>
      </c>
      <c r="E195" s="94" t="s">
        <v>39</v>
      </c>
      <c r="F195" s="95">
        <f>'GIS Heat Input'!E17</f>
        <v>13902.26009120243</v>
      </c>
      <c r="G195" s="28"/>
      <c r="H195" s="80">
        <f>F195*'GWPs &amp; Fuel EFs'!$N$8</f>
        <v>1621649.2059823307</v>
      </c>
      <c r="I195" s="28"/>
      <c r="J195" s="80">
        <f>F195*'GWPs &amp; Fuel EFs'!$M$36</f>
        <v>30.649237066188139</v>
      </c>
      <c r="K195" s="80">
        <f>J195*'GWPs &amp; Fuel EFs'!$D$11</f>
        <v>766.23092665470347</v>
      </c>
      <c r="L195" s="28"/>
      <c r="M195" s="80">
        <f>F195*'GWPs &amp; Fuel EFs'!$M$64</f>
        <v>3.064923706618814</v>
      </c>
      <c r="N195" s="80">
        <f>M195*'GWPs &amp; Fuel EFs'!$E$11</f>
        <v>913.34726457240652</v>
      </c>
    </row>
    <row r="196" spans="1:14">
      <c r="A196" s="421" t="s">
        <v>217</v>
      </c>
      <c r="B196" s="172">
        <f>N197</f>
        <v>20002.590444518235</v>
      </c>
      <c r="C196" s="20"/>
      <c r="D196" s="81" t="s">
        <v>394</v>
      </c>
      <c r="E196" s="94" t="s">
        <v>17</v>
      </c>
      <c r="F196" s="95">
        <f>'GIS Heat Input'!E18</f>
        <v>6123.9030304015687</v>
      </c>
      <c r="G196" s="28"/>
      <c r="H196" s="80">
        <f>F196*'GWPs &amp; Fuel EFs'!$N$9</f>
        <v>1240883.3437376693</v>
      </c>
      <c r="I196" s="28"/>
      <c r="J196" s="80">
        <f>F196*'GWPs &amp; Fuel EFs'!$M$37</f>
        <v>405.95965443980441</v>
      </c>
      <c r="K196" s="80">
        <f>J196*'GWPs &amp; Fuel EFs'!$D$11</f>
        <v>10148.991360995111</v>
      </c>
      <c r="L196" s="28"/>
      <c r="M196" s="80">
        <f>F196*'GWPs &amp; Fuel EFs'!$M$65</f>
        <v>54.127953925307274</v>
      </c>
      <c r="N196" s="80">
        <f>M196*'GWPs &amp; Fuel EFs'!$E$11</f>
        <v>16130.130269741569</v>
      </c>
    </row>
    <row r="197" spans="1:14">
      <c r="A197" s="421" t="s">
        <v>218</v>
      </c>
      <c r="B197" s="172">
        <f>K205</f>
        <v>759596.02229826024</v>
      </c>
      <c r="C197" s="20"/>
      <c r="D197" s="81"/>
      <c r="E197" s="28"/>
      <c r="F197" s="80"/>
      <c r="G197" s="28"/>
      <c r="H197" s="83">
        <f>SUM(H194:H196)</f>
        <v>4089536.8586599305</v>
      </c>
      <c r="I197" s="28"/>
      <c r="J197" s="80"/>
      <c r="K197" s="83">
        <f>SUM(K194:K196)</f>
        <v>12156.46092448046</v>
      </c>
      <c r="L197" s="28"/>
      <c r="M197" s="80"/>
      <c r="N197" s="83">
        <f>SUM(N194:N196)</f>
        <v>20002.590444518235</v>
      </c>
    </row>
    <row r="198" spans="1:14">
      <c r="A198" s="421" t="s">
        <v>219</v>
      </c>
      <c r="B198" s="172">
        <f>N205</f>
        <v>3901762.2599773118</v>
      </c>
      <c r="C198" s="20"/>
      <c r="D198" s="20"/>
      <c r="E198" s="20"/>
      <c r="F198" s="20"/>
    </row>
    <row r="199" spans="1:14">
      <c r="A199" s="421"/>
      <c r="B199" s="421"/>
      <c r="C199" s="20"/>
      <c r="D199" s="20"/>
      <c r="E199" s="20"/>
      <c r="F199" s="20"/>
    </row>
    <row r="200" spans="1:14" ht="13">
      <c r="A200" s="173" t="s">
        <v>220</v>
      </c>
      <c r="B200" s="171">
        <f>H205</f>
        <v>410846896.97610432</v>
      </c>
      <c r="C200" s="20"/>
      <c r="D200" s="66" t="s">
        <v>221</v>
      </c>
      <c r="E200" s="28"/>
      <c r="F200" s="80"/>
      <c r="G200" s="28"/>
      <c r="H200" s="83"/>
      <c r="I200" s="28"/>
      <c r="J200" s="80"/>
      <c r="K200" s="83"/>
      <c r="L200" s="28"/>
      <c r="M200" s="80"/>
      <c r="N200" s="83"/>
    </row>
    <row r="201" spans="1:14">
      <c r="A201" s="421"/>
      <c r="B201" s="421"/>
      <c r="C201" s="20"/>
      <c r="D201" s="81" t="s">
        <v>388</v>
      </c>
      <c r="E201" s="94" t="s">
        <v>63</v>
      </c>
      <c r="F201" s="95">
        <f>'GIS Heat Input'!E20</f>
        <v>887647.54673369345</v>
      </c>
      <c r="G201" s="28"/>
      <c r="H201" s="80">
        <f>F201*'GWPs &amp; Fuel EFs'!$N$20</f>
        <v>101897233.67627175</v>
      </c>
      <c r="I201" s="28"/>
      <c r="J201" s="80">
        <f>F201*'GWPs &amp; Fuel EFs'!$M$48</f>
        <v>6262.1691523731442</v>
      </c>
      <c r="K201" s="80">
        <f>J201*'GWPs &amp; Fuel EFs'!$D$11</f>
        <v>156554.2288093286</v>
      </c>
      <c r="L201" s="28"/>
      <c r="M201" s="80">
        <f>F201*'GWPs &amp; Fuel EFs'!$M$76</f>
        <v>1232.8645518734627</v>
      </c>
      <c r="N201" s="80">
        <f>M201*'GWPs &amp; Fuel EFs'!$E$11</f>
        <v>367393.63645829191</v>
      </c>
    </row>
    <row r="202" spans="1:14">
      <c r="A202" s="421"/>
      <c r="B202" s="599"/>
      <c r="C202" s="20"/>
      <c r="D202" s="81" t="s">
        <v>391</v>
      </c>
      <c r="E202" s="94" t="s">
        <v>16</v>
      </c>
      <c r="F202" s="95">
        <f>'GIS Heat Input'!E21</f>
        <v>8708.6894779988233</v>
      </c>
      <c r="G202" s="28"/>
      <c r="H202" s="80">
        <f>F202*'GWPs &amp; Fuel EFs'!$N$21</f>
        <v>1823077.0492682459</v>
      </c>
      <c r="I202" s="28"/>
      <c r="J202" s="80">
        <f>F202*'GWPs &amp; Fuel EFs'!$M$49</f>
        <v>546.92311478047372</v>
      </c>
      <c r="K202" s="80">
        <f>J202*'GWPs &amp; Fuel EFs'!$D$11</f>
        <v>13673.077869511842</v>
      </c>
      <c r="L202" s="28"/>
      <c r="M202" s="80">
        <f>F202*'GWPs &amp; Fuel EFs'!$M$77</f>
        <v>72.923081970729839</v>
      </c>
      <c r="N202" s="80">
        <f>M202*'GWPs &amp; Fuel EFs'!$E$11</f>
        <v>21731.078427277491</v>
      </c>
    </row>
    <row r="203" spans="1:14">
      <c r="A203" s="421"/>
      <c r="B203" s="421"/>
      <c r="C203" s="20"/>
      <c r="D203" s="81" t="s">
        <v>396</v>
      </c>
      <c r="E203" s="94" t="s">
        <v>69</v>
      </c>
      <c r="F203" s="95">
        <f>'GIS Heat Input'!E22</f>
        <v>1485184.1819213985</v>
      </c>
      <c r="G203" s="28"/>
      <c r="H203" s="80">
        <f>F203*'GWPs &amp; Fuel EFs'!$N$23</f>
        <v>307126586.25056434</v>
      </c>
      <c r="I203" s="28"/>
      <c r="J203" s="80">
        <f>F203*'GWPs &amp; Fuel EFs'!$M$51</f>
        <v>23574.748624776792</v>
      </c>
      <c r="K203" s="80">
        <f>J203*'GWPs &amp; Fuel EFs'!$D$11</f>
        <v>589368.71561941982</v>
      </c>
      <c r="L203" s="28"/>
      <c r="M203" s="80">
        <f>F203*'GWPs &amp; Fuel EFs'!$M$79</f>
        <v>11787.374312388396</v>
      </c>
      <c r="N203" s="80">
        <f>M203*'GWPs &amp; Fuel EFs'!$E$11</f>
        <v>3512637.5450917422</v>
      </c>
    </row>
    <row r="204" spans="1:14">
      <c r="A204" s="421"/>
      <c r="B204" s="421"/>
      <c r="C204" s="20"/>
      <c r="D204" s="81" t="s">
        <v>2287</v>
      </c>
      <c r="E204" s="94" t="s">
        <v>68</v>
      </c>
      <c r="F204" s="95">
        <f>'GIS Heat Input'!E23</f>
        <v>0</v>
      </c>
      <c r="G204" s="28"/>
      <c r="H204" s="80">
        <f>F204*'GWPs &amp; Fuel EFs'!$N$27</f>
        <v>0</v>
      </c>
      <c r="I204" s="28"/>
      <c r="J204" s="80">
        <f>F204*'GWPs &amp; Fuel EFs'!$M$55</f>
        <v>0</v>
      </c>
      <c r="K204" s="80">
        <f>J204*'GWPs &amp; Fuel EFs'!$D$11</f>
        <v>0</v>
      </c>
      <c r="L204" s="28"/>
      <c r="M204" s="80">
        <f>F204*'GWPs &amp; Fuel EFs'!$M$83</f>
        <v>0</v>
      </c>
      <c r="N204" s="80">
        <f>M204*'GWPs &amp; Fuel EFs'!$E$11</f>
        <v>0</v>
      </c>
    </row>
    <row r="205" spans="1:14">
      <c r="A205" s="424"/>
      <c r="B205" s="601"/>
      <c r="C205" s="20"/>
      <c r="D205" s="28"/>
      <c r="E205" s="28"/>
      <c r="F205" s="80"/>
      <c r="G205" s="28"/>
      <c r="H205" s="83">
        <f>SUM(H201:H204)</f>
        <v>410846896.97610432</v>
      </c>
      <c r="I205" s="28"/>
      <c r="J205" s="28"/>
      <c r="K205" s="83">
        <f>SUM(K201:K204)</f>
        <v>759596.02229826024</v>
      </c>
      <c r="L205" s="28"/>
      <c r="M205" s="28"/>
      <c r="N205" s="83">
        <f>SUM(N201:N204)</f>
        <v>3901762.2599773118</v>
      </c>
    </row>
    <row r="206" spans="1:14">
      <c r="A206" s="424"/>
      <c r="B206" s="601"/>
      <c r="C206" s="20"/>
      <c r="D206" s="20"/>
      <c r="E206" s="20"/>
      <c r="F206" s="20"/>
    </row>
    <row r="207" spans="1:14">
      <c r="A207" s="600"/>
      <c r="B207" s="600"/>
      <c r="C207" s="600"/>
      <c r="D207" s="600"/>
      <c r="E207" s="600"/>
      <c r="F207" s="600"/>
      <c r="G207" s="174"/>
      <c r="H207" s="174"/>
      <c r="I207" s="174"/>
      <c r="J207" s="174"/>
      <c r="K207" s="174"/>
      <c r="L207" s="174"/>
      <c r="M207" s="174"/>
      <c r="N207" s="174"/>
    </row>
    <row r="208" spans="1:14" ht="13">
      <c r="A208" s="166" t="s">
        <v>2730</v>
      </c>
      <c r="B208" s="167"/>
      <c r="C208" s="20"/>
      <c r="D208" s="77" t="s">
        <v>222</v>
      </c>
      <c r="E208" s="77"/>
      <c r="F208" s="77"/>
      <c r="G208" s="28"/>
      <c r="H208" s="77" t="s">
        <v>222</v>
      </c>
      <c r="I208" s="28"/>
      <c r="J208" s="77" t="s">
        <v>222</v>
      </c>
      <c r="K208" s="77"/>
      <c r="L208" s="28"/>
      <c r="M208" s="77" t="s">
        <v>222</v>
      </c>
      <c r="N208" s="77"/>
    </row>
    <row r="209" spans="1:14" ht="13">
      <c r="A209" s="167">
        <f>A173</f>
        <v>2021</v>
      </c>
      <c r="B209" s="167"/>
      <c r="C209" s="20"/>
      <c r="D209" s="77" t="s">
        <v>207</v>
      </c>
      <c r="E209" s="77"/>
      <c r="F209" s="77"/>
      <c r="G209" s="28"/>
      <c r="H209" s="77" t="s">
        <v>208</v>
      </c>
      <c r="I209" s="28"/>
      <c r="J209" s="77" t="s">
        <v>209</v>
      </c>
      <c r="K209" s="77"/>
      <c r="L209" s="28"/>
      <c r="M209" s="77" t="s">
        <v>210</v>
      </c>
      <c r="N209" s="77"/>
    </row>
    <row r="210" spans="1:14" ht="35.5">
      <c r="A210" s="168"/>
      <c r="B210" s="169" t="s">
        <v>333</v>
      </c>
      <c r="C210" s="598"/>
      <c r="D210" s="79" t="s">
        <v>211</v>
      </c>
      <c r="E210" s="79" t="s">
        <v>212</v>
      </c>
      <c r="F210" s="79" t="str">
        <f>F174</f>
        <v>Net Heat Input Out of State from MSS Meters</v>
      </c>
      <c r="G210" s="28"/>
      <c r="H210" s="66" t="s">
        <v>331</v>
      </c>
      <c r="I210" s="78"/>
      <c r="J210" s="66" t="s">
        <v>332</v>
      </c>
      <c r="K210" s="66" t="s">
        <v>333</v>
      </c>
      <c r="L210" s="78"/>
      <c r="M210" s="66" t="s">
        <v>334</v>
      </c>
      <c r="N210" s="66" t="s">
        <v>333</v>
      </c>
    </row>
    <row r="211" spans="1:14" ht="13">
      <c r="A211" s="170" t="s">
        <v>214</v>
      </c>
      <c r="B211" s="171">
        <f>SUM(B212:B216)+F215</f>
        <v>30900304.054572493</v>
      </c>
      <c r="C211" s="20"/>
      <c r="D211" s="66" t="s">
        <v>215</v>
      </c>
      <c r="E211" s="78"/>
      <c r="F211" s="20"/>
      <c r="G211" s="28"/>
      <c r="H211" s="28"/>
      <c r="I211" s="28"/>
      <c r="J211" s="78"/>
      <c r="K211" s="78"/>
      <c r="L211" s="28"/>
      <c r="M211" s="78"/>
      <c r="N211" s="78"/>
    </row>
    <row r="212" spans="1:14">
      <c r="A212" s="421" t="s">
        <v>1401</v>
      </c>
      <c r="B212" s="172">
        <f>H215</f>
        <v>0</v>
      </c>
      <c r="C212" s="20"/>
      <c r="D212" s="81" t="s">
        <v>2534</v>
      </c>
      <c r="E212" s="94" t="s">
        <v>46</v>
      </c>
      <c r="F212" s="95">
        <f>'GIS Heat Input'!E40</f>
        <v>0</v>
      </c>
      <c r="G212" s="28"/>
      <c r="H212" s="80">
        <f>F212*'GWPs &amp; Fuel EFs'!$N$7</f>
        <v>0</v>
      </c>
      <c r="I212" s="28"/>
      <c r="J212" s="80">
        <f>F212*'GWPs &amp; Fuel EFs'!$M$35</f>
        <v>0</v>
      </c>
      <c r="K212" s="80">
        <f>J212*'GWPs &amp; Fuel EFs'!$D$11</f>
        <v>0</v>
      </c>
      <c r="L212" s="28"/>
      <c r="M212" s="80">
        <f>F212*'GWPs &amp; Fuel EFs'!$M$63</f>
        <v>0</v>
      </c>
      <c r="N212" s="80">
        <f>M212*'GWPs &amp; Fuel EFs'!$E$11</f>
        <v>0</v>
      </c>
    </row>
    <row r="213" spans="1:14">
      <c r="A213" s="421" t="s">
        <v>216</v>
      </c>
      <c r="B213" s="172">
        <f>K215</f>
        <v>0</v>
      </c>
      <c r="C213" s="20"/>
      <c r="D213" s="81" t="s">
        <v>380</v>
      </c>
      <c r="E213" s="94" t="s">
        <v>39</v>
      </c>
      <c r="F213" s="95">
        <f>'GIS Heat Input'!E41</f>
        <v>0</v>
      </c>
      <c r="G213" s="28"/>
      <c r="H213" s="80">
        <f>F213*'GWPs &amp; Fuel EFs'!$N$8</f>
        <v>0</v>
      </c>
      <c r="I213" s="28"/>
      <c r="J213" s="80">
        <f>F213*'GWPs &amp; Fuel EFs'!$M$36</f>
        <v>0</v>
      </c>
      <c r="K213" s="80">
        <f>J213*'GWPs &amp; Fuel EFs'!$D$11</f>
        <v>0</v>
      </c>
      <c r="L213" s="28"/>
      <c r="M213" s="80">
        <f>F213*'GWPs &amp; Fuel EFs'!$M$64</f>
        <v>0</v>
      </c>
      <c r="N213" s="80">
        <f>M213*'GWPs &amp; Fuel EFs'!$E$11</f>
        <v>0</v>
      </c>
    </row>
    <row r="214" spans="1:14">
      <c r="A214" s="421" t="s">
        <v>217</v>
      </c>
      <c r="B214" s="172">
        <f>N215</f>
        <v>0</v>
      </c>
      <c r="C214" s="20"/>
      <c r="D214" s="81" t="s">
        <v>394</v>
      </c>
      <c r="E214" s="94" t="s">
        <v>17</v>
      </c>
      <c r="F214" s="95">
        <f>'GIS Heat Input'!E42</f>
        <v>0</v>
      </c>
      <c r="G214" s="28"/>
      <c r="H214" s="80">
        <f>F214*'GWPs &amp; Fuel EFs'!$N$9</f>
        <v>0</v>
      </c>
      <c r="I214" s="28"/>
      <c r="J214" s="80">
        <f>F214*'GWPs &amp; Fuel EFs'!$M$37</f>
        <v>0</v>
      </c>
      <c r="K214" s="80">
        <f>J214*'GWPs &amp; Fuel EFs'!$D$11</f>
        <v>0</v>
      </c>
      <c r="L214" s="28"/>
      <c r="M214" s="80">
        <f>F214*'GWPs &amp; Fuel EFs'!$M$65</f>
        <v>0</v>
      </c>
      <c r="N214" s="80">
        <f>M214*'GWPs &amp; Fuel EFs'!$E$11</f>
        <v>0</v>
      </c>
    </row>
    <row r="215" spans="1:14">
      <c r="A215" s="421" t="s">
        <v>218</v>
      </c>
      <c r="B215" s="172">
        <f>K223</f>
        <v>4470794.8083822979</v>
      </c>
      <c r="C215" s="20"/>
      <c r="D215" s="81"/>
      <c r="E215" s="82"/>
      <c r="F215" s="80"/>
      <c r="G215" s="28"/>
      <c r="H215" s="83">
        <f>SUM(H212:H214)</f>
        <v>0</v>
      </c>
      <c r="I215" s="28"/>
      <c r="J215" s="80"/>
      <c r="K215" s="83">
        <f>SUM(K212:K214)</f>
        <v>0</v>
      </c>
      <c r="L215" s="28"/>
      <c r="M215" s="80"/>
      <c r="N215" s="83">
        <f>SUM(N212:N214)</f>
        <v>0</v>
      </c>
    </row>
    <row r="216" spans="1:14">
      <c r="A216" s="421" t="s">
        <v>219</v>
      </c>
      <c r="B216" s="172">
        <f>N223</f>
        <v>26429509.246190194</v>
      </c>
      <c r="C216" s="20"/>
      <c r="D216" s="20"/>
      <c r="E216" s="28"/>
      <c r="F216" s="20"/>
      <c r="G216" s="28"/>
    </row>
    <row r="217" spans="1:14">
      <c r="A217" s="421"/>
      <c r="B217" s="421"/>
      <c r="C217" s="20"/>
      <c r="D217" s="20"/>
      <c r="E217" s="20"/>
      <c r="F217" s="20"/>
    </row>
    <row r="218" spans="1:14">
      <c r="A218" s="421"/>
      <c r="B218" s="421"/>
      <c r="C218" s="20"/>
      <c r="D218" s="66" t="s">
        <v>221</v>
      </c>
      <c r="E218" s="28"/>
      <c r="F218" s="80"/>
    </row>
    <row r="219" spans="1:14" ht="13">
      <c r="A219" s="173" t="s">
        <v>220</v>
      </c>
      <c r="B219" s="171">
        <f>H223</f>
        <v>2337553496.5220766</v>
      </c>
      <c r="C219" s="20"/>
      <c r="D219" s="81" t="s">
        <v>388</v>
      </c>
      <c r="E219" s="94" t="s">
        <v>63</v>
      </c>
      <c r="F219" s="95">
        <f>'GIS Heat Input'!E44</f>
        <v>202373.63008093115</v>
      </c>
      <c r="G219" s="28"/>
      <c r="H219" s="80">
        <f>F219*'GWPs &amp; Fuel EFs'!$N$20</f>
        <v>23231420.117312282</v>
      </c>
      <c r="I219" s="28"/>
      <c r="J219" s="80">
        <f>F219*'GWPs &amp; Fuel EFs'!$M$48</f>
        <v>1427.7039442173864</v>
      </c>
      <c r="K219" s="80">
        <f>J219*'GWPs &amp; Fuel EFs'!$D$11</f>
        <v>35692.598605434658</v>
      </c>
      <c r="L219" s="28"/>
      <c r="M219" s="80">
        <f>F219*'GWPs &amp; Fuel EFs'!$M$76</f>
        <v>281.07921401779794</v>
      </c>
      <c r="N219" s="80">
        <f>M219*'GWPs &amp; Fuel EFs'!$E$11</f>
        <v>83761.60577730379</v>
      </c>
    </row>
    <row r="220" spans="1:14">
      <c r="A220" s="421"/>
      <c r="B220" s="599"/>
      <c r="C220" s="20"/>
      <c r="D220" s="81" t="s">
        <v>391</v>
      </c>
      <c r="E220" s="94" t="s">
        <v>16</v>
      </c>
      <c r="F220" s="95">
        <f>'GIS Heat Input'!E45</f>
        <v>0</v>
      </c>
      <c r="G220" s="28"/>
      <c r="H220" s="80">
        <f>F220*'GWPs &amp; Fuel EFs'!$N$21</f>
        <v>0</v>
      </c>
      <c r="I220" s="28"/>
      <c r="J220" s="80">
        <f>F220*'GWPs &amp; Fuel EFs'!$M$49</f>
        <v>0</v>
      </c>
      <c r="K220" s="80">
        <f>J220*'GWPs &amp; Fuel EFs'!$D$11</f>
        <v>0</v>
      </c>
      <c r="L220" s="28"/>
      <c r="M220" s="80">
        <f>F220*'GWPs &amp; Fuel EFs'!$M$77</f>
        <v>0</v>
      </c>
      <c r="N220" s="80">
        <f>M220*'GWPs &amp; Fuel EFs'!$E$11</f>
        <v>0</v>
      </c>
    </row>
    <row r="221" spans="1:14">
      <c r="A221" s="421"/>
      <c r="B221" s="421"/>
      <c r="C221" s="20"/>
      <c r="D221" s="81" t="s">
        <v>396</v>
      </c>
      <c r="E221" s="94" t="s">
        <v>69</v>
      </c>
      <c r="F221" s="95">
        <f>'GIS Heat Input'!E46</f>
        <v>11115272.042657454</v>
      </c>
      <c r="G221" s="28"/>
      <c r="H221" s="80">
        <f>F221*'GWPs &amp; Fuel EFs'!$N$23</f>
        <v>2298567140.1989059</v>
      </c>
      <c r="I221" s="28"/>
      <c r="J221" s="80">
        <f>F221*'GWPs &amp; Fuel EFs'!$M$51</f>
        <v>176435.85724341281</v>
      </c>
      <c r="K221" s="80">
        <f>J221*'GWPs &amp; Fuel EFs'!$D$11</f>
        <v>4410896.4310853202</v>
      </c>
      <c r="L221" s="28"/>
      <c r="M221" s="80">
        <f>F221*'GWPs &amp; Fuel EFs'!$M$79</f>
        <v>88217.928621706407</v>
      </c>
      <c r="N221" s="80">
        <f>M221*'GWPs &amp; Fuel EFs'!$E$11</f>
        <v>26288942.72926851</v>
      </c>
    </row>
    <row r="222" spans="1:14">
      <c r="A222" s="421"/>
      <c r="B222" s="421"/>
      <c r="C222" s="20"/>
      <c r="D222" s="81" t="s">
        <v>2287</v>
      </c>
      <c r="E222" s="94" t="s">
        <v>68</v>
      </c>
      <c r="F222" s="95">
        <f>'GIS Heat Input'!E47</f>
        <v>137244.45667000092</v>
      </c>
      <c r="G222" s="28"/>
      <c r="H222" s="80">
        <f>F222*'GWPs &amp; Fuel EFs'!$N$27</f>
        <v>15754936.205858383</v>
      </c>
      <c r="I222" s="28"/>
      <c r="J222" s="80">
        <f>F222*'GWPs &amp; Fuel EFs'!$M$55</f>
        <v>968.23114766174047</v>
      </c>
      <c r="K222" s="80">
        <f>J222*'GWPs &amp; Fuel EFs'!$D$11</f>
        <v>24205.77869154351</v>
      </c>
      <c r="L222" s="28"/>
      <c r="M222" s="80">
        <f>F222*'GWPs &amp; Fuel EFs'!$M$83</f>
        <v>190.62050719590513</v>
      </c>
      <c r="N222" s="80">
        <f>M222*'GWPs &amp; Fuel EFs'!$E$11</f>
        <v>56804.91114437973</v>
      </c>
    </row>
    <row r="223" spans="1:14">
      <c r="A223" s="421"/>
      <c r="B223" s="421"/>
      <c r="C223" s="20"/>
      <c r="D223" s="81"/>
      <c r="E223" s="20"/>
      <c r="F223" s="80"/>
      <c r="G223" s="28"/>
      <c r="H223" s="83">
        <f>SUM(H219:H222)</f>
        <v>2337553496.5220766</v>
      </c>
      <c r="I223" s="28"/>
      <c r="J223" s="28"/>
      <c r="K223" s="83">
        <f>SUM(K219:K222)</f>
        <v>4470794.8083822979</v>
      </c>
      <c r="L223" s="28"/>
      <c r="M223" s="28"/>
      <c r="N223" s="83">
        <f>SUM(N219:N222)</f>
        <v>26429509.246190194</v>
      </c>
    </row>
    <row r="224" spans="1:14">
      <c r="A224" s="421"/>
      <c r="B224" s="421"/>
      <c r="C224" s="20"/>
      <c r="D224" s="81"/>
      <c r="E224" s="82"/>
      <c r="F224" s="80"/>
      <c r="G224" s="28"/>
    </row>
    <row r="225" spans="1:14">
      <c r="A225" s="600"/>
      <c r="B225" s="600"/>
      <c r="C225" s="600"/>
      <c r="D225" s="600"/>
      <c r="E225" s="600"/>
      <c r="F225" s="600"/>
      <c r="G225" s="174"/>
      <c r="H225" s="174"/>
      <c r="I225" s="174"/>
      <c r="J225" s="174"/>
      <c r="K225" s="174"/>
      <c r="L225" s="174"/>
      <c r="M225" s="174"/>
      <c r="N225" s="174"/>
    </row>
    <row r="226" spans="1:14" ht="13">
      <c r="A226" s="166" t="s">
        <v>2729</v>
      </c>
      <c r="B226" s="167"/>
      <c r="C226" s="20"/>
      <c r="D226" s="77" t="s">
        <v>223</v>
      </c>
      <c r="E226" s="77"/>
      <c r="F226" s="77"/>
      <c r="G226" s="28"/>
      <c r="H226" s="77" t="s">
        <v>223</v>
      </c>
      <c r="I226" s="28"/>
      <c r="J226" s="77" t="s">
        <v>223</v>
      </c>
      <c r="K226" s="77"/>
      <c r="L226" s="28"/>
      <c r="M226" s="77" t="s">
        <v>223</v>
      </c>
      <c r="N226" s="77"/>
    </row>
    <row r="227" spans="1:14" ht="13">
      <c r="A227" s="167">
        <f>A173</f>
        <v>2021</v>
      </c>
      <c r="B227" s="167"/>
      <c r="C227" s="20"/>
      <c r="D227" s="77" t="s">
        <v>207</v>
      </c>
      <c r="E227" s="77"/>
      <c r="F227" s="77"/>
      <c r="G227" s="28"/>
      <c r="H227" s="77" t="s">
        <v>208</v>
      </c>
      <c r="I227" s="28"/>
      <c r="J227" s="77" t="s">
        <v>209</v>
      </c>
      <c r="K227" s="77"/>
      <c r="L227" s="28"/>
      <c r="M227" s="77" t="s">
        <v>210</v>
      </c>
      <c r="N227" s="77"/>
    </row>
    <row r="228" spans="1:14" ht="35.5">
      <c r="A228" s="168"/>
      <c r="B228" s="169" t="s">
        <v>333</v>
      </c>
      <c r="C228" s="598"/>
      <c r="D228" s="79" t="s">
        <v>211</v>
      </c>
      <c r="E228" s="79" t="s">
        <v>212</v>
      </c>
      <c r="F228" s="79" t="str">
        <f>F174</f>
        <v>Net Heat Input Out of State from MSS Meters</v>
      </c>
      <c r="G228" s="28"/>
      <c r="H228" s="66" t="s">
        <v>331</v>
      </c>
      <c r="I228" s="78"/>
      <c r="J228" s="66" t="s">
        <v>332</v>
      </c>
      <c r="K228" s="66" t="s">
        <v>333</v>
      </c>
      <c r="L228" s="78"/>
      <c r="M228" s="66" t="s">
        <v>334</v>
      </c>
      <c r="N228" s="66" t="s">
        <v>333</v>
      </c>
    </row>
    <row r="229" spans="1:14" ht="13">
      <c r="A229" s="170" t="s">
        <v>214</v>
      </c>
      <c r="B229" s="171">
        <f>SUM(B230:B234)</f>
        <v>240644226.52065161</v>
      </c>
      <c r="C229" s="20"/>
      <c r="D229" s="66" t="s">
        <v>215</v>
      </c>
      <c r="E229" s="66"/>
      <c r="F229" s="66"/>
      <c r="G229" s="28"/>
      <c r="H229" s="28"/>
      <c r="I229" s="28"/>
      <c r="J229" s="78"/>
      <c r="K229" s="78"/>
      <c r="L229" s="28"/>
      <c r="M229" s="78"/>
      <c r="N229" s="78"/>
    </row>
    <row r="230" spans="1:14">
      <c r="A230" s="421" t="s">
        <v>1402</v>
      </c>
      <c r="B230" s="172">
        <f>H233</f>
        <v>218945614.22109798</v>
      </c>
      <c r="C230" s="20"/>
      <c r="D230" s="81" t="s">
        <v>2534</v>
      </c>
      <c r="E230" s="94" t="s">
        <v>46</v>
      </c>
      <c r="F230" s="95">
        <f>'GIS Heat Input'!E52</f>
        <v>0</v>
      </c>
      <c r="G230" s="28"/>
      <c r="H230" s="80">
        <f>F230*'GWPs &amp; Fuel EFs'!$N$7</f>
        <v>0</v>
      </c>
      <c r="I230" s="28"/>
      <c r="J230" s="80">
        <f>F230*'GWPs &amp; Fuel EFs'!$M$35</f>
        <v>0</v>
      </c>
      <c r="K230" s="80">
        <f>J230*'GWPs &amp; Fuel EFs'!$D$11</f>
        <v>0</v>
      </c>
      <c r="L230" s="28"/>
      <c r="M230" s="80">
        <f>F230*'GWPs &amp; Fuel EFs'!$M$63</f>
        <v>0</v>
      </c>
      <c r="N230" s="80">
        <f>M230*'GWPs &amp; Fuel EFs'!$E$11</f>
        <v>0</v>
      </c>
    </row>
    <row r="231" spans="1:14">
      <c r="A231" s="421" t="s">
        <v>216</v>
      </c>
      <c r="B231" s="172">
        <f>K233</f>
        <v>1790722.0356142141</v>
      </c>
      <c r="C231" s="20"/>
      <c r="D231" s="81" t="s">
        <v>380</v>
      </c>
      <c r="E231" s="94" t="s">
        <v>39</v>
      </c>
      <c r="F231" s="95">
        <f>'GIS Heat Input'!E53</f>
        <v>0</v>
      </c>
      <c r="G231" s="28"/>
      <c r="H231" s="80">
        <f>F231*'GWPs &amp; Fuel EFs'!$N$8</f>
        <v>0</v>
      </c>
      <c r="I231" s="28"/>
      <c r="J231" s="80">
        <f>F231*'GWPs &amp; Fuel EFs'!$M$36</f>
        <v>0</v>
      </c>
      <c r="K231" s="80">
        <f>J231*'GWPs &amp; Fuel EFs'!$D$11</f>
        <v>0</v>
      </c>
      <c r="L231" s="28"/>
      <c r="M231" s="80">
        <f>F231*'GWPs &amp; Fuel EFs'!$M$64</f>
        <v>0</v>
      </c>
      <c r="N231" s="80">
        <f>M231*'GWPs &amp; Fuel EFs'!$E$11</f>
        <v>0</v>
      </c>
    </row>
    <row r="232" spans="1:14">
      <c r="A232" s="421" t="s">
        <v>217</v>
      </c>
      <c r="B232" s="172">
        <f>N233</f>
        <v>2846054.2219361919</v>
      </c>
      <c r="C232" s="20"/>
      <c r="D232" s="81" t="s">
        <v>394</v>
      </c>
      <c r="E232" s="94" t="s">
        <v>17</v>
      </c>
      <c r="F232" s="95">
        <f>'GIS Heat Input'!E54</f>
        <v>1080521.9662172925</v>
      </c>
      <c r="G232" s="28"/>
      <c r="H232" s="80">
        <f>F232*'GWPs &amp; Fuel EFs'!$N$9</f>
        <v>218945614.22109798</v>
      </c>
      <c r="I232" s="28"/>
      <c r="J232" s="80">
        <f>F232*'GWPs &amp; Fuel EFs'!$M$37</f>
        <v>71628.881424568564</v>
      </c>
      <c r="K232" s="80">
        <f>J232*'GWPs &amp; Fuel EFs'!$D$11</f>
        <v>1790722.0356142141</v>
      </c>
      <c r="L232" s="28"/>
      <c r="M232" s="80">
        <f>F232*'GWPs &amp; Fuel EFs'!$M$65</f>
        <v>9550.517523275812</v>
      </c>
      <c r="N232" s="80">
        <f>M232*'GWPs &amp; Fuel EFs'!$E$11</f>
        <v>2846054.2219361919</v>
      </c>
    </row>
    <row r="233" spans="1:14">
      <c r="A233" s="421" t="s">
        <v>218</v>
      </c>
      <c r="B233" s="172">
        <f>K241</f>
        <v>3431852.8661206453</v>
      </c>
      <c r="C233" s="20"/>
      <c r="D233" s="81"/>
      <c r="E233" s="82"/>
      <c r="F233" s="80"/>
      <c r="G233" s="28"/>
      <c r="H233" s="83">
        <f>SUM(H230:H232)</f>
        <v>218945614.22109798</v>
      </c>
      <c r="I233" s="28"/>
      <c r="J233" s="80"/>
      <c r="K233" s="83">
        <f>SUM(K230:K232)</f>
        <v>1790722.0356142141</v>
      </c>
      <c r="L233" s="28"/>
      <c r="M233" s="80"/>
      <c r="N233" s="83">
        <f>SUM(N230:N232)</f>
        <v>2846054.2219361919</v>
      </c>
    </row>
    <row r="234" spans="1:14">
      <c r="A234" s="421" t="s">
        <v>219</v>
      </c>
      <c r="B234" s="172">
        <f>N241</f>
        <v>13629983.175882565</v>
      </c>
      <c r="C234" s="20"/>
      <c r="D234" s="20"/>
      <c r="E234" s="28"/>
      <c r="F234" s="20"/>
    </row>
    <row r="235" spans="1:14">
      <c r="A235" s="421"/>
      <c r="B235" s="421"/>
      <c r="C235" s="20"/>
      <c r="D235" s="20"/>
      <c r="E235" s="20"/>
      <c r="F235" s="20"/>
    </row>
    <row r="236" spans="1:14" ht="13">
      <c r="A236" s="173" t="s">
        <v>220</v>
      </c>
      <c r="B236" s="171">
        <f>H241</f>
        <v>1277345836.6563759</v>
      </c>
      <c r="C236" s="20"/>
      <c r="D236" s="66" t="s">
        <v>221</v>
      </c>
      <c r="E236" s="28"/>
      <c r="F236" s="80"/>
      <c r="G236" s="28"/>
      <c r="H236" s="83"/>
      <c r="I236" s="28"/>
      <c r="J236" s="80"/>
      <c r="K236" s="83"/>
      <c r="L236" s="28"/>
      <c r="M236" s="80"/>
      <c r="N236" s="83"/>
    </row>
    <row r="237" spans="1:14">
      <c r="A237" s="421"/>
      <c r="B237" s="599"/>
      <c r="C237" s="20"/>
      <c r="D237" s="81" t="s">
        <v>388</v>
      </c>
      <c r="E237" s="94" t="s">
        <v>63</v>
      </c>
      <c r="F237" s="95">
        <f>'GIS Heat Input'!E56</f>
        <v>1188532.079562743</v>
      </c>
      <c r="G237" s="28"/>
      <c r="H237" s="80">
        <f>F237*'GWPs &amp; Fuel EFs'!$N$20</f>
        <v>136437183.30388644</v>
      </c>
      <c r="I237" s="28"/>
      <c r="J237" s="80">
        <f>F237*'GWPs &amp; Fuel EFs'!$M$48</f>
        <v>8384.847063038922</v>
      </c>
      <c r="K237" s="80">
        <f>J237*'GWPs &amp; Fuel EFs'!$D$11</f>
        <v>209621.17657597305</v>
      </c>
      <c r="L237" s="28"/>
      <c r="M237" s="80">
        <f>F237*'GWPs &amp; Fuel EFs'!$M$76</f>
        <v>1650.7667655357875</v>
      </c>
      <c r="N237" s="80">
        <f>M237*'GWPs &amp; Fuel EFs'!$E$11</f>
        <v>491928.49612966465</v>
      </c>
    </row>
    <row r="238" spans="1:14">
      <c r="A238" s="421"/>
      <c r="B238" s="421"/>
      <c r="C238" s="20"/>
      <c r="D238" s="81" t="s">
        <v>391</v>
      </c>
      <c r="E238" s="94" t="s">
        <v>16</v>
      </c>
      <c r="F238" s="95">
        <f>'GIS Heat Input'!E57</f>
        <v>884042.57741933991</v>
      </c>
      <c r="G238" s="28"/>
      <c r="H238" s="80">
        <f>F238*'GWPs &amp; Fuel EFs'!$N$21</f>
        <v>185065472.54220089</v>
      </c>
      <c r="I238" s="28"/>
      <c r="J238" s="80">
        <f>F238*'GWPs &amp; Fuel EFs'!$M$49</f>
        <v>55519.641762660263</v>
      </c>
      <c r="K238" s="80">
        <f>J238*'GWPs &amp; Fuel EFs'!$D$11</f>
        <v>1387991.0440665067</v>
      </c>
      <c r="L238" s="28"/>
      <c r="M238" s="80">
        <f>F238*'GWPs &amp; Fuel EFs'!$M$77</f>
        <v>7402.6189016880353</v>
      </c>
      <c r="N238" s="80">
        <f>M238*'GWPs &amp; Fuel EFs'!$E$11</f>
        <v>2205980.4327030345</v>
      </c>
    </row>
    <row r="239" spans="1:14">
      <c r="A239" s="421"/>
      <c r="B239" s="421"/>
      <c r="C239" s="20"/>
      <c r="D239" s="81" t="s">
        <v>396</v>
      </c>
      <c r="E239" s="94" t="s">
        <v>69</v>
      </c>
      <c r="F239" s="95">
        <f>'GIS Heat Input'!E58</f>
        <v>4622208.6790582016</v>
      </c>
      <c r="G239" s="86"/>
      <c r="H239" s="80">
        <f>F239*'GWPs &amp; Fuel EFs'!$N$23</f>
        <v>955843180.81028855</v>
      </c>
      <c r="I239" s="28"/>
      <c r="J239" s="80">
        <f>F239*'GWPs &amp; Fuel EFs'!$M$51</f>
        <v>73369.625819126624</v>
      </c>
      <c r="K239" s="80">
        <f>J239*'GWPs &amp; Fuel EFs'!$D$11</f>
        <v>1834240.6454781657</v>
      </c>
      <c r="L239" s="28"/>
      <c r="M239" s="80">
        <f>F239*'GWPs &amp; Fuel EFs'!$M$79</f>
        <v>36684.812909563312</v>
      </c>
      <c r="N239" s="80">
        <f>M239*'GWPs &amp; Fuel EFs'!$E$11</f>
        <v>10932074.247049866</v>
      </c>
    </row>
    <row r="240" spans="1:14" ht="13">
      <c r="A240" s="173"/>
      <c r="B240" s="171"/>
      <c r="C240" s="20"/>
      <c r="D240" s="81" t="s">
        <v>2287</v>
      </c>
      <c r="E240" s="94" t="s">
        <v>68</v>
      </c>
      <c r="F240" s="95">
        <f>'GIS Heat Input'!E59</f>
        <v>0</v>
      </c>
      <c r="G240" s="28"/>
      <c r="H240" s="80">
        <f>F240*'GWPs &amp; Fuel EFs'!$N$27</f>
        <v>0</v>
      </c>
      <c r="I240" s="28"/>
      <c r="J240" s="80">
        <f>F240*'GWPs &amp; Fuel EFs'!$M$55</f>
        <v>0</v>
      </c>
      <c r="K240" s="80">
        <f>J240*'GWPs &amp; Fuel EFs'!$D$11</f>
        <v>0</v>
      </c>
      <c r="L240" s="28"/>
      <c r="M240" s="80">
        <f>F240*'GWPs &amp; Fuel EFs'!$M$83</f>
        <v>0</v>
      </c>
      <c r="N240" s="80">
        <f>M240*'GWPs &amp; Fuel EFs'!$E$11</f>
        <v>0</v>
      </c>
    </row>
    <row r="241" spans="1:14">
      <c r="A241" s="421"/>
      <c r="B241" s="601"/>
      <c r="C241" s="20"/>
      <c r="D241" s="81"/>
      <c r="E241" s="20"/>
      <c r="F241" s="80"/>
      <c r="G241" s="28"/>
      <c r="H241" s="83">
        <f>SUM(H237:H239)</f>
        <v>1277345836.6563759</v>
      </c>
      <c r="I241" s="28"/>
      <c r="J241" s="80"/>
      <c r="K241" s="83">
        <f>SUM(K237:K239)</f>
        <v>3431852.8661206453</v>
      </c>
      <c r="L241" s="28"/>
      <c r="M241" s="80"/>
      <c r="N241" s="83">
        <f>SUM(N237:N239)</f>
        <v>13629983.175882565</v>
      </c>
    </row>
    <row r="242" spans="1:14">
      <c r="A242" s="421"/>
      <c r="B242" s="421"/>
      <c r="C242" s="20"/>
      <c r="D242" s="20"/>
      <c r="E242" s="20"/>
      <c r="F242" s="80"/>
    </row>
    <row r="243" spans="1:14">
      <c r="A243" s="600"/>
      <c r="B243" s="600"/>
      <c r="C243" s="600"/>
      <c r="D243" s="600"/>
      <c r="E243" s="600"/>
      <c r="F243" s="600"/>
      <c r="G243" s="174"/>
      <c r="H243" s="174"/>
      <c r="I243" s="174"/>
      <c r="J243" s="174"/>
      <c r="K243" s="174"/>
      <c r="L243" s="174"/>
      <c r="M243" s="174"/>
      <c r="N243" s="174"/>
    </row>
    <row r="244" spans="1:14" ht="13">
      <c r="A244" s="166" t="s">
        <v>2732</v>
      </c>
      <c r="B244" s="166"/>
      <c r="C244" s="20"/>
      <c r="D244" s="77" t="s">
        <v>225</v>
      </c>
      <c r="E244" s="77"/>
      <c r="F244" s="77"/>
      <c r="G244" s="28"/>
      <c r="H244" s="77" t="s">
        <v>225</v>
      </c>
      <c r="I244" s="28"/>
      <c r="J244" s="77" t="s">
        <v>225</v>
      </c>
      <c r="K244" s="77"/>
      <c r="L244" s="28"/>
      <c r="M244" s="77" t="s">
        <v>225</v>
      </c>
      <c r="N244" s="77"/>
    </row>
    <row r="245" spans="1:14" ht="13">
      <c r="A245" s="167">
        <f>A173</f>
        <v>2021</v>
      </c>
      <c r="B245" s="167"/>
      <c r="C245" s="20"/>
      <c r="D245" s="77" t="s">
        <v>207</v>
      </c>
      <c r="E245" s="77"/>
      <c r="F245" s="77"/>
      <c r="G245" s="28"/>
      <c r="H245" s="77" t="s">
        <v>208</v>
      </c>
      <c r="I245" s="28"/>
      <c r="J245" s="77" t="s">
        <v>209</v>
      </c>
      <c r="K245" s="77"/>
      <c r="L245" s="28"/>
      <c r="M245" s="77" t="s">
        <v>210</v>
      </c>
      <c r="N245" s="77"/>
    </row>
    <row r="246" spans="1:14" ht="35.5">
      <c r="A246" s="168"/>
      <c r="B246" s="169" t="s">
        <v>333</v>
      </c>
      <c r="C246" s="598"/>
      <c r="D246" s="79" t="s">
        <v>211</v>
      </c>
      <c r="E246" s="79" t="s">
        <v>212</v>
      </c>
      <c r="F246" s="79" t="str">
        <f>F192</f>
        <v>Net Heat Input Out of State from MSS Meters</v>
      </c>
      <c r="G246" s="28"/>
      <c r="H246" s="66" t="s">
        <v>331</v>
      </c>
      <c r="I246" s="78"/>
      <c r="J246" s="66" t="s">
        <v>332</v>
      </c>
      <c r="K246" s="66" t="s">
        <v>333</v>
      </c>
      <c r="L246" s="78"/>
      <c r="M246" s="66" t="s">
        <v>334</v>
      </c>
      <c r="N246" s="66" t="s">
        <v>333</v>
      </c>
    </row>
    <row r="247" spans="1:14" ht="13">
      <c r="A247" s="170" t="s">
        <v>214</v>
      </c>
      <c r="B247" s="171">
        <f>SUM(B248:B252)</f>
        <v>170546.34691720371</v>
      </c>
      <c r="C247" s="20"/>
      <c r="D247" s="66" t="s">
        <v>215</v>
      </c>
      <c r="E247" s="66"/>
      <c r="F247" s="66"/>
      <c r="G247" s="28"/>
      <c r="H247" s="28"/>
      <c r="I247" s="28"/>
      <c r="J247" s="78"/>
      <c r="K247" s="78"/>
      <c r="L247" s="28"/>
      <c r="M247" s="78"/>
      <c r="N247" s="78"/>
    </row>
    <row r="248" spans="1:14">
      <c r="A248" s="421" t="s">
        <v>1401</v>
      </c>
      <c r="B248" s="172">
        <f>H251</f>
        <v>0</v>
      </c>
      <c r="C248" s="20"/>
      <c r="D248" s="81" t="s">
        <v>2534</v>
      </c>
      <c r="E248" s="94" t="s">
        <v>46</v>
      </c>
      <c r="F248" s="95">
        <f>'GIS Heat Input'!E64</f>
        <v>0</v>
      </c>
      <c r="G248" s="28"/>
      <c r="H248" s="80">
        <f>F248*'GWPs &amp; Fuel EFs'!$N$7</f>
        <v>0</v>
      </c>
      <c r="I248" s="28"/>
      <c r="J248" s="80">
        <f>F248*'GWPs &amp; Fuel EFs'!$M$35</f>
        <v>0</v>
      </c>
      <c r="K248" s="80">
        <f>J248*'GWPs &amp; Fuel EFs'!$D$11</f>
        <v>0</v>
      </c>
      <c r="L248" s="28"/>
      <c r="M248" s="80">
        <f>F248*'GWPs &amp; Fuel EFs'!$M$63</f>
        <v>0</v>
      </c>
      <c r="N248" s="80">
        <f>M248*'GWPs &amp; Fuel EFs'!$E$11</f>
        <v>0</v>
      </c>
    </row>
    <row r="249" spans="1:14">
      <c r="A249" s="421" t="s">
        <v>216</v>
      </c>
      <c r="B249" s="172">
        <f>K251</f>
        <v>0</v>
      </c>
      <c r="C249" s="20"/>
      <c r="D249" s="81" t="s">
        <v>380</v>
      </c>
      <c r="E249" s="94" t="s">
        <v>39</v>
      </c>
      <c r="F249" s="95">
        <f>'GIS Heat Input'!E65</f>
        <v>0</v>
      </c>
      <c r="G249" s="28"/>
      <c r="H249" s="80">
        <f>F249*'GWPs &amp; Fuel EFs'!$N$8</f>
        <v>0</v>
      </c>
      <c r="I249" s="28"/>
      <c r="J249" s="80">
        <f>F249*'GWPs &amp; Fuel EFs'!$M$36</f>
        <v>0</v>
      </c>
      <c r="K249" s="80">
        <f>J249*'GWPs &amp; Fuel EFs'!$D$11</f>
        <v>0</v>
      </c>
      <c r="L249" s="28"/>
      <c r="M249" s="80">
        <f>F249*'GWPs &amp; Fuel EFs'!$M$64</f>
        <v>0</v>
      </c>
      <c r="N249" s="80">
        <f>M249*'GWPs &amp; Fuel EFs'!$E$11</f>
        <v>0</v>
      </c>
    </row>
    <row r="250" spans="1:14">
      <c r="A250" s="421" t="s">
        <v>217</v>
      </c>
      <c r="B250" s="172">
        <f>N251</f>
        <v>0</v>
      </c>
      <c r="C250" s="20"/>
      <c r="D250" s="81" t="s">
        <v>394</v>
      </c>
      <c r="E250" s="94" t="s">
        <v>17</v>
      </c>
      <c r="F250" s="95">
        <f>'GIS Heat Input'!E66</f>
        <v>0</v>
      </c>
      <c r="G250" s="28"/>
      <c r="H250" s="80">
        <f>F250*'GWPs &amp; Fuel EFs'!$N$9</f>
        <v>0</v>
      </c>
      <c r="I250" s="28"/>
      <c r="J250" s="80">
        <f>F250*'GWPs &amp; Fuel EFs'!$M$37</f>
        <v>0</v>
      </c>
      <c r="K250" s="80">
        <f>J250*'GWPs &amp; Fuel EFs'!$D$11</f>
        <v>0</v>
      </c>
      <c r="L250" s="28"/>
      <c r="M250" s="80">
        <f>F250*'GWPs &amp; Fuel EFs'!$M$65</f>
        <v>0</v>
      </c>
      <c r="N250" s="80">
        <f>M250*'GWPs &amp; Fuel EFs'!$E$11</f>
        <v>0</v>
      </c>
    </row>
    <row r="251" spans="1:14">
      <c r="A251" s="421" t="s">
        <v>218</v>
      </c>
      <c r="B251" s="172">
        <f>K259</f>
        <v>50958.794925585629</v>
      </c>
      <c r="C251" s="20"/>
      <c r="D251" s="81"/>
      <c r="E251" s="82"/>
      <c r="F251" s="82"/>
      <c r="G251" s="28"/>
      <c r="H251" s="83">
        <f>SUM(H248:H250)</f>
        <v>0</v>
      </c>
      <c r="I251" s="28"/>
      <c r="J251" s="80"/>
      <c r="K251" s="83">
        <f>SUM(K248:K250)</f>
        <v>0</v>
      </c>
      <c r="L251" s="28"/>
      <c r="M251" s="80"/>
      <c r="N251" s="83">
        <f>SUM(N248:N250)</f>
        <v>0</v>
      </c>
    </row>
    <row r="252" spans="1:14">
      <c r="A252" s="421" t="s">
        <v>219</v>
      </c>
      <c r="B252" s="172">
        <f>N259</f>
        <v>119587.55199161808</v>
      </c>
      <c r="C252" s="20"/>
      <c r="D252" s="20"/>
      <c r="E252" s="28"/>
      <c r="F252" s="28"/>
    </row>
    <row r="253" spans="1:14">
      <c r="A253" s="421"/>
      <c r="B253" s="421"/>
      <c r="C253" s="20"/>
      <c r="D253" s="20"/>
      <c r="E253" s="20"/>
      <c r="F253" s="20"/>
    </row>
    <row r="254" spans="1:14" ht="13">
      <c r="A254" s="173" t="s">
        <v>220</v>
      </c>
      <c r="B254" s="171">
        <f>H259</f>
        <v>33167805.647190548</v>
      </c>
      <c r="C254" s="20"/>
      <c r="D254" s="66" t="s">
        <v>221</v>
      </c>
      <c r="E254" s="28"/>
      <c r="F254" s="28"/>
      <c r="G254" s="28"/>
      <c r="H254" s="83"/>
      <c r="I254" s="28"/>
      <c r="J254" s="80"/>
      <c r="K254" s="83"/>
      <c r="L254" s="28"/>
      <c r="M254" s="80"/>
      <c r="N254" s="83"/>
    </row>
    <row r="255" spans="1:14">
      <c r="A255" s="421"/>
      <c r="B255" s="599"/>
      <c r="C255" s="20"/>
      <c r="D255" s="81" t="s">
        <v>388</v>
      </c>
      <c r="E255" s="94" t="s">
        <v>63</v>
      </c>
      <c r="F255" s="95">
        <f>'GIS Heat Input'!E68</f>
        <v>288931.50727529975</v>
      </c>
      <c r="G255" s="28"/>
      <c r="H255" s="80">
        <f>F255*'GWPs &amp; Fuel EFs'!$N$20</f>
        <v>33167805.647190548</v>
      </c>
      <c r="I255" s="28"/>
      <c r="J255" s="80">
        <f>F255*'GWPs &amp; Fuel EFs'!$M$48</f>
        <v>2038.3517970234252</v>
      </c>
      <c r="K255" s="80">
        <f>J255*'GWPs &amp; Fuel EFs'!$D$11</f>
        <v>50958.794925585629</v>
      </c>
      <c r="L255" s="28"/>
      <c r="M255" s="80">
        <f>F255*'GWPs &amp; Fuel EFs'!$M$76</f>
        <v>401.30051003898683</v>
      </c>
      <c r="N255" s="80">
        <f>M255*'GWPs &amp; Fuel EFs'!$E$11</f>
        <v>119587.55199161808</v>
      </c>
    </row>
    <row r="256" spans="1:14">
      <c r="A256" s="421"/>
      <c r="B256" s="421"/>
      <c r="C256" s="20"/>
      <c r="D256" s="81" t="s">
        <v>391</v>
      </c>
      <c r="E256" s="94" t="s">
        <v>16</v>
      </c>
      <c r="F256" s="95">
        <f>'GIS Heat Input'!E69</f>
        <v>0</v>
      </c>
      <c r="G256" s="28"/>
      <c r="H256" s="80">
        <f>F256*'GWPs &amp; Fuel EFs'!$N$21</f>
        <v>0</v>
      </c>
      <c r="I256" s="28"/>
      <c r="J256" s="80">
        <f>F256*'GWPs &amp; Fuel EFs'!$M$49</f>
        <v>0</v>
      </c>
      <c r="K256" s="80">
        <f>J256*'GWPs &amp; Fuel EFs'!$D$11</f>
        <v>0</v>
      </c>
      <c r="L256" s="28"/>
      <c r="M256" s="80">
        <f>F256*'GWPs &amp; Fuel EFs'!$M$77</f>
        <v>0</v>
      </c>
      <c r="N256" s="80">
        <f>M256*'GWPs &amp; Fuel EFs'!$E$11</f>
        <v>0</v>
      </c>
    </row>
    <row r="257" spans="1:14">
      <c r="A257" s="421"/>
      <c r="B257" s="421"/>
      <c r="C257" s="20"/>
      <c r="D257" s="81" t="s">
        <v>396</v>
      </c>
      <c r="E257" s="94" t="s">
        <v>69</v>
      </c>
      <c r="F257" s="95">
        <f>'GIS Heat Input'!E70</f>
        <v>0</v>
      </c>
      <c r="G257" s="28"/>
      <c r="H257" s="80">
        <f>F257*'GWPs &amp; Fuel EFs'!$N$23</f>
        <v>0</v>
      </c>
      <c r="I257" s="28"/>
      <c r="J257" s="80">
        <f>F257*'GWPs &amp; Fuel EFs'!$M$51</f>
        <v>0</v>
      </c>
      <c r="K257" s="80">
        <f>J257*'GWPs &amp; Fuel EFs'!$D$11</f>
        <v>0</v>
      </c>
      <c r="L257" s="28"/>
      <c r="M257" s="80">
        <f>F257*'GWPs &amp; Fuel EFs'!$M$79</f>
        <v>0</v>
      </c>
      <c r="N257" s="80">
        <f>M257*'GWPs &amp; Fuel EFs'!$E$11</f>
        <v>0</v>
      </c>
    </row>
    <row r="258" spans="1:14">
      <c r="A258" s="421"/>
      <c r="B258" s="421"/>
      <c r="C258" s="20"/>
      <c r="D258" s="81" t="s">
        <v>2287</v>
      </c>
      <c r="E258" s="94" t="s">
        <v>68</v>
      </c>
      <c r="F258" s="95">
        <f>'GIS Heat Input'!E71</f>
        <v>0</v>
      </c>
      <c r="G258" s="28"/>
      <c r="H258" s="80">
        <f>F258*'GWPs &amp; Fuel EFs'!$N$27</f>
        <v>0</v>
      </c>
      <c r="I258" s="28"/>
      <c r="J258" s="80">
        <f>F258*'GWPs &amp; Fuel EFs'!$M$55</f>
        <v>0</v>
      </c>
      <c r="K258" s="80">
        <f>J258*'GWPs &amp; Fuel EFs'!$D$11</f>
        <v>0</v>
      </c>
      <c r="L258" s="28"/>
      <c r="M258" s="80">
        <f>F258*'GWPs &amp; Fuel EFs'!$M$83</f>
        <v>0</v>
      </c>
      <c r="N258" s="80">
        <f>M258*'GWPs &amp; Fuel EFs'!$E$11</f>
        <v>0</v>
      </c>
    </row>
    <row r="259" spans="1:14">
      <c r="A259" s="421"/>
      <c r="B259" s="599"/>
      <c r="C259" s="20"/>
      <c r="D259" s="28"/>
      <c r="E259" s="28"/>
      <c r="F259" s="80"/>
      <c r="G259" s="28"/>
      <c r="H259" s="83">
        <f>SUM(H255:H258)</f>
        <v>33167805.647190548</v>
      </c>
      <c r="I259" s="28"/>
      <c r="J259" s="28"/>
      <c r="K259" s="83">
        <f>SUM(K255:K258)</f>
        <v>50958.794925585629</v>
      </c>
      <c r="L259" s="28"/>
      <c r="M259" s="28"/>
      <c r="N259" s="83">
        <f>SUM(N255:N258)</f>
        <v>119587.55199161808</v>
      </c>
    </row>
    <row r="260" spans="1:14">
      <c r="A260" s="421"/>
      <c r="B260" s="421"/>
      <c r="C260" s="20"/>
      <c r="D260" s="20"/>
      <c r="E260" s="20"/>
      <c r="F260" s="20"/>
    </row>
    <row r="261" spans="1:14">
      <c r="A261" s="600"/>
      <c r="B261" s="600"/>
      <c r="C261" s="600"/>
      <c r="D261" s="600"/>
      <c r="E261" s="600"/>
      <c r="F261" s="600"/>
      <c r="G261" s="174"/>
      <c r="H261" s="174"/>
      <c r="I261" s="174"/>
      <c r="J261" s="174"/>
      <c r="K261" s="174"/>
      <c r="L261" s="174"/>
      <c r="M261" s="174"/>
      <c r="N261" s="174"/>
    </row>
    <row r="262" spans="1:14" ht="13">
      <c r="A262" s="166" t="s">
        <v>2733</v>
      </c>
      <c r="B262" s="166"/>
      <c r="C262" s="20"/>
      <c r="D262" s="77" t="s">
        <v>224</v>
      </c>
      <c r="E262" s="77"/>
      <c r="F262" s="77"/>
      <c r="G262" s="28"/>
      <c r="H262" s="77" t="s">
        <v>224</v>
      </c>
      <c r="I262" s="28"/>
      <c r="J262" s="77" t="s">
        <v>224</v>
      </c>
      <c r="K262" s="77"/>
      <c r="L262" s="28"/>
      <c r="M262" s="77" t="s">
        <v>224</v>
      </c>
      <c r="N262" s="77"/>
    </row>
    <row r="263" spans="1:14" ht="13">
      <c r="A263" s="167">
        <f>A191</f>
        <v>2021</v>
      </c>
      <c r="B263" s="167"/>
      <c r="C263" s="20"/>
      <c r="D263" s="77" t="s">
        <v>207</v>
      </c>
      <c r="E263" s="77"/>
      <c r="F263" s="77"/>
      <c r="G263" s="28"/>
      <c r="H263" s="77" t="s">
        <v>208</v>
      </c>
      <c r="I263" s="28"/>
      <c r="J263" s="77" t="s">
        <v>209</v>
      </c>
      <c r="K263" s="77"/>
      <c r="L263" s="28"/>
      <c r="M263" s="77" t="s">
        <v>210</v>
      </c>
      <c r="N263" s="77"/>
    </row>
    <row r="264" spans="1:14" ht="35.5">
      <c r="A264" s="168"/>
      <c r="B264" s="169" t="s">
        <v>333</v>
      </c>
      <c r="C264" s="598"/>
      <c r="D264" s="79" t="s">
        <v>211</v>
      </c>
      <c r="E264" s="79" t="s">
        <v>212</v>
      </c>
      <c r="F264" s="79" t="str">
        <f>F192</f>
        <v>Net Heat Input Out of State from MSS Meters</v>
      </c>
      <c r="G264" s="28"/>
      <c r="H264" s="66" t="s">
        <v>331</v>
      </c>
      <c r="I264" s="78"/>
      <c r="J264" s="66" t="s">
        <v>332</v>
      </c>
      <c r="K264" s="66" t="s">
        <v>333</v>
      </c>
      <c r="L264" s="78"/>
      <c r="M264" s="66" t="s">
        <v>334</v>
      </c>
      <c r="N264" s="66" t="s">
        <v>333</v>
      </c>
    </row>
    <row r="265" spans="1:14" ht="13">
      <c r="A265" s="170" t="s">
        <v>214</v>
      </c>
      <c r="B265" s="171">
        <f>SUM(B266:B270)+F269+F270</f>
        <v>17182535.63483762</v>
      </c>
      <c r="C265" s="20"/>
      <c r="D265" s="66" t="s">
        <v>215</v>
      </c>
      <c r="E265" s="66"/>
      <c r="F265" s="66"/>
      <c r="G265" s="28"/>
      <c r="H265" s="28"/>
      <c r="I265" s="28"/>
      <c r="J265" s="78"/>
      <c r="K265" s="78"/>
      <c r="L265" s="28"/>
      <c r="M265" s="78"/>
      <c r="N265" s="78"/>
    </row>
    <row r="266" spans="1:14">
      <c r="A266" s="421" t="s">
        <v>1401</v>
      </c>
      <c r="B266" s="172">
        <f>H270</f>
        <v>0</v>
      </c>
      <c r="C266" s="20"/>
      <c r="D266" s="81" t="s">
        <v>2534</v>
      </c>
      <c r="E266" s="94" t="s">
        <v>46</v>
      </c>
      <c r="F266" s="95">
        <f>'GIS Heat Input'!E76</f>
        <v>0</v>
      </c>
      <c r="G266" s="28"/>
      <c r="H266" s="80">
        <f>F266*'GWPs &amp; Fuel EFs'!$N$7</f>
        <v>0</v>
      </c>
      <c r="I266" s="28"/>
      <c r="J266" s="80">
        <f>F266*'GWPs &amp; Fuel EFs'!$M$35</f>
        <v>0</v>
      </c>
      <c r="K266" s="80">
        <f>J266*'GWPs &amp; Fuel EFs'!$D$11</f>
        <v>0</v>
      </c>
      <c r="L266" s="28"/>
      <c r="M266" s="80">
        <f>F266*'GWPs &amp; Fuel EFs'!$M$63</f>
        <v>0</v>
      </c>
      <c r="N266" s="80">
        <f>M266*'GWPs &amp; Fuel EFs'!$E$11</f>
        <v>0</v>
      </c>
    </row>
    <row r="267" spans="1:14">
      <c r="A267" s="421" t="s">
        <v>216</v>
      </c>
      <c r="B267" s="172">
        <f>K270</f>
        <v>0</v>
      </c>
      <c r="C267" s="20"/>
      <c r="D267" s="81" t="s">
        <v>380</v>
      </c>
      <c r="E267" s="94" t="s">
        <v>39</v>
      </c>
      <c r="F267" s="95">
        <f>'GIS Heat Input'!E77</f>
        <v>410196.97569100093</v>
      </c>
      <c r="G267" s="28"/>
      <c r="H267" s="80">
        <f>F267*'GWPs &amp; Fuel EFs'!$N$8</f>
        <v>47848018.63594909</v>
      </c>
      <c r="I267" s="28"/>
      <c r="J267" s="80">
        <f>F267*'GWPs &amp; Fuel EFs'!$M$36</f>
        <v>904.32953126397081</v>
      </c>
      <c r="K267" s="80">
        <f>J267*'GWPs &amp; Fuel EFs'!$D$11</f>
        <v>22608.238281599271</v>
      </c>
      <c r="L267" s="28"/>
      <c r="M267" s="80">
        <f>F267*'GWPs &amp; Fuel EFs'!$M$64</f>
        <v>90.432953126397081</v>
      </c>
      <c r="N267" s="80">
        <f>M267*'GWPs &amp; Fuel EFs'!$E$11</f>
        <v>26949.020031666329</v>
      </c>
    </row>
    <row r="268" spans="1:14">
      <c r="A268" s="421" t="s">
        <v>217</v>
      </c>
      <c r="B268" s="172">
        <f>N270</f>
        <v>0</v>
      </c>
      <c r="C268" s="20"/>
      <c r="D268" s="81" t="s">
        <v>394</v>
      </c>
      <c r="E268" s="94" t="s">
        <v>17</v>
      </c>
      <c r="F268" s="95">
        <f>'GIS Heat Input'!E78</f>
        <v>0</v>
      </c>
      <c r="G268" s="28"/>
      <c r="H268" s="80">
        <f>F268*'GWPs &amp; Fuel EFs'!$N$9</f>
        <v>0</v>
      </c>
      <c r="I268" s="28"/>
      <c r="J268" s="80">
        <f>F268*'GWPs &amp; Fuel EFs'!$M$37</f>
        <v>0</v>
      </c>
      <c r="K268" s="80">
        <f>J268*'GWPs &amp; Fuel EFs'!$D$11</f>
        <v>0</v>
      </c>
      <c r="L268" s="28"/>
      <c r="M268" s="80">
        <f>F268*'GWPs &amp; Fuel EFs'!$M$65</f>
        <v>0</v>
      </c>
      <c r="N268" s="80">
        <f>M268*'GWPs &amp; Fuel EFs'!$E$11</f>
        <v>0</v>
      </c>
    </row>
    <row r="269" spans="1:14">
      <c r="A269" s="421" t="s">
        <v>218</v>
      </c>
      <c r="B269" s="172">
        <f>K277</f>
        <v>2527723.8022778016</v>
      </c>
      <c r="C269" s="20"/>
      <c r="D269" s="81"/>
      <c r="E269" s="82"/>
      <c r="F269" s="80"/>
      <c r="G269" s="28"/>
      <c r="H269" s="83">
        <f>SUM(H266:H268)</f>
        <v>47848018.63594909</v>
      </c>
      <c r="I269" s="28"/>
      <c r="J269" s="80"/>
      <c r="K269" s="83">
        <f>SUM(K265:K268)</f>
        <v>22608.238281599271</v>
      </c>
      <c r="L269" s="28"/>
      <c r="M269" s="80"/>
      <c r="N269" s="83">
        <f>SUM(N265:N268)</f>
        <v>26949.020031666329</v>
      </c>
    </row>
    <row r="270" spans="1:14">
      <c r="A270" s="421" t="s">
        <v>219</v>
      </c>
      <c r="B270" s="172">
        <f>N277</f>
        <v>14654811.83255982</v>
      </c>
      <c r="C270" s="20"/>
      <c r="D270" s="20"/>
      <c r="E270" s="28"/>
      <c r="F270" s="20"/>
      <c r="G270" s="28"/>
      <c r="H270" s="83"/>
      <c r="I270" s="28"/>
      <c r="J270" s="80"/>
      <c r="K270" s="83"/>
      <c r="L270" s="28"/>
      <c r="M270" s="80"/>
      <c r="N270" s="83"/>
    </row>
    <row r="271" spans="1:14">
      <c r="A271" s="421"/>
      <c r="B271" s="421"/>
      <c r="C271" s="20"/>
      <c r="D271" s="20"/>
      <c r="E271" s="20"/>
      <c r="F271" s="20"/>
    </row>
    <row r="272" spans="1:14" ht="13">
      <c r="A272" s="173" t="s">
        <v>220</v>
      </c>
      <c r="B272" s="171">
        <f>H277</f>
        <v>1331964586.5503776</v>
      </c>
      <c r="C272" s="20"/>
      <c r="D272" s="66" t="s">
        <v>221</v>
      </c>
      <c r="E272" s="28"/>
      <c r="F272" s="80"/>
      <c r="G272" s="28"/>
      <c r="H272" s="83"/>
      <c r="I272" s="28"/>
      <c r="J272" s="80"/>
      <c r="K272" s="83"/>
      <c r="L272" s="28"/>
      <c r="M272" s="80"/>
      <c r="N272" s="83"/>
    </row>
    <row r="273" spans="1:17">
      <c r="A273" s="421"/>
      <c r="B273" s="599"/>
      <c r="C273" s="20"/>
      <c r="D273" s="81" t="s">
        <v>388</v>
      </c>
      <c r="E273" s="94" t="s">
        <v>63</v>
      </c>
      <c r="F273" s="95">
        <f>'GIS Heat Input'!E80</f>
        <v>642805.34930133098</v>
      </c>
      <c r="G273" s="28"/>
      <c r="H273" s="80">
        <f>F273*'GWPs &amp; Fuel EFs'!$N$20</f>
        <v>73790647.117922068</v>
      </c>
      <c r="I273" s="28"/>
      <c r="J273" s="80">
        <f>F273*'GWPs &amp; Fuel EFs'!$M$48</f>
        <v>4534.8582826454895</v>
      </c>
      <c r="K273" s="80">
        <f>J273*'GWPs &amp; Fuel EFs'!$D$11</f>
        <v>113371.45706613724</v>
      </c>
      <c r="L273" s="28"/>
      <c r="M273" s="80">
        <f>F273*'GWPs &amp; Fuel EFs'!$M$76</f>
        <v>892.8002243958307</v>
      </c>
      <c r="N273" s="80">
        <f>M273*'GWPs &amp; Fuel EFs'!$E$11</f>
        <v>266054.46686995757</v>
      </c>
    </row>
    <row r="274" spans="1:17">
      <c r="A274" s="421"/>
      <c r="B274" s="421"/>
      <c r="C274" s="20"/>
      <c r="D274" s="81" t="s">
        <v>391</v>
      </c>
      <c r="E274" s="94" t="s">
        <v>16</v>
      </c>
      <c r="F274" s="95">
        <f>'GIS Heat Input'!E81</f>
        <v>0</v>
      </c>
      <c r="G274" s="28"/>
      <c r="H274" s="80">
        <f>F274*'GWPs &amp; Fuel EFs'!$N$21</f>
        <v>0</v>
      </c>
      <c r="I274" s="28"/>
      <c r="J274" s="80">
        <f>F274*'GWPs &amp; Fuel EFs'!$M$49</f>
        <v>0</v>
      </c>
      <c r="K274" s="80">
        <f>J274*'GWPs &amp; Fuel EFs'!$D$11</f>
        <v>0</v>
      </c>
      <c r="L274" s="28"/>
      <c r="M274" s="80">
        <f>F274*'GWPs &amp; Fuel EFs'!$M$77</f>
        <v>0</v>
      </c>
      <c r="N274" s="80">
        <f>M274*'GWPs &amp; Fuel EFs'!$E$11</f>
        <v>0</v>
      </c>
    </row>
    <row r="275" spans="1:17">
      <c r="A275" s="421"/>
      <c r="B275" s="421"/>
      <c r="C275" s="20"/>
      <c r="D275" s="81" t="s">
        <v>396</v>
      </c>
      <c r="E275" s="94" t="s">
        <v>69</v>
      </c>
      <c r="F275" s="95">
        <f>'GIS Heat Input'!E82</f>
        <v>6083519.7631810745</v>
      </c>
      <c r="G275" s="28"/>
      <c r="H275" s="80">
        <f>F275*'GWPs &amp; Fuel EFs'!$N$23</f>
        <v>1258032963.1820226</v>
      </c>
      <c r="I275" s="28"/>
      <c r="J275" s="80">
        <f>F275*'GWPs &amp; Fuel EFs'!$M$51</f>
        <v>96565.430009707488</v>
      </c>
      <c r="K275" s="80">
        <f>J275*'GWPs &amp; Fuel EFs'!$D$11</f>
        <v>2414135.7502426873</v>
      </c>
      <c r="L275" s="28"/>
      <c r="M275" s="80">
        <f>F275*'GWPs &amp; Fuel EFs'!$M$79</f>
        <v>48282.715004853744</v>
      </c>
      <c r="N275" s="80">
        <f>M275*'GWPs &amp; Fuel EFs'!$E$11</f>
        <v>14388249.071446415</v>
      </c>
    </row>
    <row r="276" spans="1:17">
      <c r="A276" s="421"/>
      <c r="B276" s="172"/>
      <c r="C276" s="20"/>
      <c r="D276" s="81" t="s">
        <v>2287</v>
      </c>
      <c r="E276" s="94" t="s">
        <v>68</v>
      </c>
      <c r="F276" s="95">
        <f>'GIS Heat Input'!E83</f>
        <v>1228.072817384674</v>
      </c>
      <c r="G276" s="28"/>
      <c r="H276" s="80">
        <f>F276*'GWPs &amp; Fuel EFs'!$N$27</f>
        <v>140976.25043295076</v>
      </c>
      <c r="I276" s="28"/>
      <c r="J276" s="80">
        <f>F276*'GWPs &amp; Fuel EFs'!$M$55</f>
        <v>8.6637987590828214</v>
      </c>
      <c r="K276" s="80">
        <f>J276*'GWPs &amp; Fuel EFs'!$D$11</f>
        <v>216.59496897707052</v>
      </c>
      <c r="L276" s="28"/>
      <c r="M276" s="80">
        <f>F276*'GWPs &amp; Fuel EFs'!$M$83</f>
        <v>1.7056853806944301</v>
      </c>
      <c r="N276" s="80">
        <f>M276*'GWPs &amp; Fuel EFs'!$E$11</f>
        <v>508.29424344694019</v>
      </c>
    </row>
    <row r="277" spans="1:17">
      <c r="A277" s="421"/>
      <c r="B277" s="172"/>
      <c r="C277" s="20"/>
      <c r="D277" s="81"/>
      <c r="E277" s="82"/>
      <c r="F277" s="80"/>
      <c r="G277" s="28"/>
      <c r="H277" s="83">
        <f>SUM(H273:H276)</f>
        <v>1331964586.5503776</v>
      </c>
      <c r="I277" s="28"/>
      <c r="J277" s="80"/>
      <c r="K277" s="83">
        <f>SUM(K273:K276)</f>
        <v>2527723.8022778016</v>
      </c>
      <c r="L277" s="28"/>
      <c r="M277" s="80"/>
      <c r="N277" s="83">
        <f>SUM(N273:N276)</f>
        <v>14654811.83255982</v>
      </c>
    </row>
    <row r="278" spans="1:17">
      <c r="A278" s="421"/>
      <c r="B278" s="172"/>
      <c r="C278" s="20"/>
      <c r="D278" s="81"/>
      <c r="E278" s="82"/>
      <c r="F278" s="80"/>
      <c r="G278" s="28"/>
      <c r="H278" s="80"/>
      <c r="I278" s="28"/>
      <c r="J278" s="80"/>
      <c r="K278" s="80"/>
      <c r="L278" s="28"/>
      <c r="M278" s="80"/>
      <c r="N278" s="80"/>
    </row>
    <row r="279" spans="1:17">
      <c r="A279" s="252"/>
      <c r="B279" s="252"/>
      <c r="C279" s="252"/>
      <c r="D279" s="252"/>
      <c r="E279" s="252"/>
      <c r="F279" s="252"/>
      <c r="G279" s="252"/>
      <c r="H279" s="252"/>
      <c r="I279" s="252"/>
      <c r="J279" s="252"/>
      <c r="K279" s="252"/>
      <c r="L279" s="252"/>
      <c r="M279" s="252"/>
      <c r="N279" s="252"/>
      <c r="O279" s="252"/>
      <c r="P279" s="252"/>
      <c r="Q279" s="252"/>
    </row>
    <row r="281" spans="1:17" ht="15.5">
      <c r="A281" s="249" t="s">
        <v>3093</v>
      </c>
    </row>
    <row r="282" spans="1:17">
      <c r="A282" s="20" t="s">
        <v>2764</v>
      </c>
    </row>
    <row r="283" spans="1:17">
      <c r="A283" s="20" t="s">
        <v>2640</v>
      </c>
    </row>
    <row r="284" spans="1:17">
      <c r="A284" s="626" t="s">
        <v>3089</v>
      </c>
    </row>
    <row r="285" spans="1:17">
      <c r="A285" s="20" t="s">
        <v>2765</v>
      </c>
    </row>
    <row r="286" spans="1:17">
      <c r="A286" s="20" t="s">
        <v>2777</v>
      </c>
    </row>
    <row r="287" spans="1:17" ht="13">
      <c r="P287" s="178" t="s">
        <v>2569</v>
      </c>
    </row>
    <row r="288" spans="1:17" ht="13">
      <c r="A288" s="215" t="s">
        <v>2546</v>
      </c>
      <c r="B288" s="216"/>
      <c r="D288" s="77" t="s">
        <v>226</v>
      </c>
      <c r="E288" s="77"/>
      <c r="F288" s="77"/>
      <c r="G288" s="28"/>
      <c r="H288" s="77" t="s">
        <v>226</v>
      </c>
      <c r="I288" s="82"/>
      <c r="J288" s="77" t="s">
        <v>226</v>
      </c>
      <c r="K288" s="77"/>
      <c r="L288" s="82"/>
      <c r="M288" s="77" t="s">
        <v>226</v>
      </c>
      <c r="N288" s="77"/>
      <c r="P288" s="803" t="s">
        <v>2550</v>
      </c>
      <c r="Q288" s="804" t="s">
        <v>1306</v>
      </c>
    </row>
    <row r="289" spans="1:17" ht="13">
      <c r="A289" s="216">
        <v>2021</v>
      </c>
      <c r="B289" s="216"/>
      <c r="D289" s="77" t="s">
        <v>207</v>
      </c>
      <c r="E289" s="77"/>
      <c r="F289" s="77"/>
      <c r="G289" s="28"/>
      <c r="H289" s="77" t="s">
        <v>208</v>
      </c>
      <c r="I289" s="82"/>
      <c r="J289" s="77" t="s">
        <v>209</v>
      </c>
      <c r="K289" s="77"/>
      <c r="L289" s="82"/>
      <c r="M289" s="77" t="s">
        <v>210</v>
      </c>
      <c r="N289" s="77"/>
      <c r="P289" s="803"/>
      <c r="Q289" s="804"/>
    </row>
    <row r="290" spans="1:17" ht="35.5">
      <c r="A290" s="217"/>
      <c r="B290" s="218" t="s">
        <v>333</v>
      </c>
      <c r="C290" s="12"/>
      <c r="D290" s="79" t="s">
        <v>211</v>
      </c>
      <c r="E290" s="79" t="s">
        <v>212</v>
      </c>
      <c r="F290" s="79" t="str">
        <f>F314</f>
        <v>Heat Input from GIS certificates (MMBtu)</v>
      </c>
      <c r="G290" s="28"/>
      <c r="H290" s="79" t="s">
        <v>331</v>
      </c>
      <c r="I290" s="165"/>
      <c r="J290" s="79" t="s">
        <v>332</v>
      </c>
      <c r="K290" s="79" t="s">
        <v>333</v>
      </c>
      <c r="L290" s="165"/>
      <c r="M290" s="79" t="s">
        <v>334</v>
      </c>
      <c r="N290" s="79" t="s">
        <v>333</v>
      </c>
      <c r="P290" s="98" t="s">
        <v>2285</v>
      </c>
      <c r="Q290" s="177">
        <f>GIS!Q69*GIS!$C36</f>
        <v>0</v>
      </c>
    </row>
    <row r="291" spans="1:17" ht="14.5">
      <c r="A291" s="219" t="s">
        <v>214</v>
      </c>
      <c r="B291" s="220">
        <f>SUM(B292:B296)</f>
        <v>1864334476.2968428</v>
      </c>
      <c r="D291" s="66" t="s">
        <v>215</v>
      </c>
      <c r="E291" s="66"/>
      <c r="F291" s="66"/>
      <c r="G291" s="28"/>
      <c r="H291" s="28"/>
      <c r="I291" s="28"/>
      <c r="J291" s="78"/>
      <c r="K291" s="78"/>
      <c r="L291" s="28"/>
      <c r="M291" s="78"/>
      <c r="N291" s="78"/>
      <c r="P291" s="33" t="s">
        <v>1262</v>
      </c>
      <c r="Q291" s="177">
        <f>GIS!Q70*GIS!$C37</f>
        <v>3373653.216430401</v>
      </c>
    </row>
    <row r="292" spans="1:17" ht="14.5">
      <c r="A292" s="221" t="s">
        <v>1401</v>
      </c>
      <c r="B292" s="222">
        <f>H296</f>
        <v>1773614689.0899704</v>
      </c>
      <c r="D292" s="81" t="s">
        <v>2534</v>
      </c>
      <c r="E292" s="94" t="s">
        <v>46</v>
      </c>
      <c r="F292" s="95">
        <f>Q293+Q304</f>
        <v>0</v>
      </c>
      <c r="G292" s="28"/>
      <c r="H292" s="80">
        <f>F292*'GWPs &amp; Fuel EFs'!$N$7</f>
        <v>0</v>
      </c>
      <c r="I292" s="28"/>
      <c r="J292" s="80">
        <f>F292*'GWPs &amp; Fuel EFs'!$M$35</f>
        <v>0</v>
      </c>
      <c r="K292" s="80">
        <f>J292*'GWPs &amp; Fuel EFs'!$D$11</f>
        <v>0</v>
      </c>
      <c r="L292" s="28"/>
      <c r="M292" s="80">
        <f>F292*'GWPs &amp; Fuel EFs'!$M$63</f>
        <v>0</v>
      </c>
      <c r="N292" s="80">
        <f>M292*'GWPs &amp; Fuel EFs'!$E$11</f>
        <v>0</v>
      </c>
      <c r="P292" s="33" t="s">
        <v>1263</v>
      </c>
      <c r="Q292" s="177">
        <f>GIS!Q71*GIS!$C38</f>
        <v>0</v>
      </c>
    </row>
    <row r="293" spans="1:17" ht="14.5">
      <c r="A293" s="221" t="s">
        <v>216</v>
      </c>
      <c r="B293" s="222">
        <f>K295</f>
        <v>13387371.66894741</v>
      </c>
      <c r="D293" s="81" t="s">
        <v>380</v>
      </c>
      <c r="E293" s="94" t="s">
        <v>39</v>
      </c>
      <c r="F293" s="95">
        <f>Q302</f>
        <v>0</v>
      </c>
      <c r="G293" s="28"/>
      <c r="H293" s="80">
        <f>F293*'GWPs &amp; Fuel EFs'!$N$8</f>
        <v>0</v>
      </c>
      <c r="I293" s="28"/>
      <c r="J293" s="80">
        <f>F293*'GWPs &amp; Fuel EFs'!$M$36</f>
        <v>0</v>
      </c>
      <c r="K293" s="80">
        <f>J293*'GWPs &amp; Fuel EFs'!$D$11</f>
        <v>0</v>
      </c>
      <c r="L293" s="28"/>
      <c r="M293" s="80">
        <f>F293*'GWPs &amp; Fuel EFs'!$M$64</f>
        <v>0</v>
      </c>
      <c r="N293" s="80">
        <f>M293*'GWPs &amp; Fuel EFs'!$E$11</f>
        <v>0</v>
      </c>
      <c r="P293" s="33" t="s">
        <v>1264</v>
      </c>
      <c r="Q293" s="177">
        <f>GIS!Q72*GIS!$C39</f>
        <v>0</v>
      </c>
    </row>
    <row r="294" spans="1:17" ht="14.5">
      <c r="A294" s="221" t="s">
        <v>217</v>
      </c>
      <c r="B294" s="222">
        <f>N295</f>
        <v>21276996.039180424</v>
      </c>
      <c r="D294" s="81" t="s">
        <v>394</v>
      </c>
      <c r="E294" s="94" t="s">
        <v>17</v>
      </c>
      <c r="F294" s="95">
        <f>(Q301+Q306)*'GIS Heat Input'!F18</f>
        <v>8077942.2325314404</v>
      </c>
      <c r="G294" s="28"/>
      <c r="H294" s="80">
        <f>F294*'GWPs &amp; Fuel EFs'!$N$9</f>
        <v>1636829309.3899703</v>
      </c>
      <c r="I294" s="28"/>
      <c r="J294" s="80">
        <f>F294*'GWPs &amp; Fuel EFs'!$M$37</f>
        <v>535494.86675789638</v>
      </c>
      <c r="K294" s="80">
        <f>J294*'GWPs &amp; Fuel EFs'!$D$11</f>
        <v>13387371.66894741</v>
      </c>
      <c r="L294" s="28"/>
      <c r="M294" s="80">
        <f>F294*'GWPs &amp; Fuel EFs'!$M$65</f>
        <v>71399.315567719546</v>
      </c>
      <c r="N294" s="80">
        <f>M294*'GWPs &amp; Fuel EFs'!$E$11</f>
        <v>21276996.039180424</v>
      </c>
      <c r="P294" s="33" t="s">
        <v>1265</v>
      </c>
      <c r="Q294" s="177">
        <f>GIS!Q73*GIS!$C40</f>
        <v>0</v>
      </c>
    </row>
    <row r="295" spans="1:17" ht="14.5">
      <c r="A295" s="221" t="s">
        <v>218</v>
      </c>
      <c r="B295" s="222">
        <f>K303</f>
        <v>19385617.345946342</v>
      </c>
      <c r="D295" s="135" t="s">
        <v>3077</v>
      </c>
      <c r="E295" s="94" t="s">
        <v>3074</v>
      </c>
      <c r="F295" s="95"/>
      <c r="G295" s="28"/>
      <c r="H295" s="143">
        <f>GIS!Q75*'GWPs &amp; Fuel EFs'!$E$34</f>
        <v>136785379.69999999</v>
      </c>
      <c r="I295" s="28"/>
      <c r="J295" s="80"/>
      <c r="K295" s="83">
        <f>SUM(K292:K294)</f>
        <v>13387371.66894741</v>
      </c>
      <c r="L295" s="28"/>
      <c r="M295" s="80"/>
      <c r="N295" s="83">
        <f>SUM(N292:N294)</f>
        <v>21276996.039180424</v>
      </c>
      <c r="P295" s="33" t="s">
        <v>1266</v>
      </c>
      <c r="Q295" s="177">
        <f>GIS!Q74*GIS!$C41</f>
        <v>0</v>
      </c>
    </row>
    <row r="296" spans="1:17" ht="14.5">
      <c r="A296" s="221" t="s">
        <v>219</v>
      </c>
      <c r="B296" s="222">
        <f>N303</f>
        <v>36669802.152798101</v>
      </c>
      <c r="H296" s="83">
        <f>SUM(H292:H295)</f>
        <v>1773614689.0899704</v>
      </c>
      <c r="P296" s="33" t="s">
        <v>1267</v>
      </c>
      <c r="Q296" s="177">
        <f>GIS!Q75*GIS!$C42</f>
        <v>0</v>
      </c>
    </row>
    <row r="297" spans="1:17" ht="14.5">
      <c r="A297" s="221"/>
      <c r="B297" s="221"/>
      <c r="P297" s="37" t="s">
        <v>1268</v>
      </c>
      <c r="Q297" s="177">
        <f>GIS!Q76*GIS!$C43</f>
        <v>0</v>
      </c>
    </row>
    <row r="298" spans="1:17" ht="14.5">
      <c r="A298" s="223" t="s">
        <v>220</v>
      </c>
      <c r="B298" s="220">
        <f>H303</f>
        <v>3109539969.9014649</v>
      </c>
      <c r="D298" s="66" t="s">
        <v>221</v>
      </c>
      <c r="E298" s="28"/>
      <c r="F298" s="80"/>
      <c r="G298" s="28"/>
      <c r="H298" s="83"/>
      <c r="I298" s="28"/>
      <c r="J298" s="80"/>
      <c r="K298" s="83"/>
      <c r="L298" s="28"/>
      <c r="M298" s="80"/>
      <c r="N298" s="83"/>
      <c r="P298" s="37" t="s">
        <v>1269</v>
      </c>
      <c r="Q298" s="177">
        <f>GIS!Q77*GIS!$C44</f>
        <v>0</v>
      </c>
    </row>
    <row r="299" spans="1:17" ht="14.5">
      <c r="A299" s="221"/>
      <c r="B299" s="221"/>
      <c r="D299" s="81" t="s">
        <v>388</v>
      </c>
      <c r="E299" s="94" t="s">
        <v>63</v>
      </c>
      <c r="F299" s="95">
        <f>Q300</f>
        <v>61835.475452617844</v>
      </c>
      <c r="G299" s="28"/>
      <c r="H299" s="80">
        <f>F299*'GWPs &amp; Fuel EFs'!$N$20</f>
        <v>7098384.8430204848</v>
      </c>
      <c r="I299" s="28"/>
      <c r="J299" s="80">
        <f>F299*'GWPs &amp; Fuel EFs'!$M$48</f>
        <v>436.2364412841473</v>
      </c>
      <c r="K299" s="80">
        <f>J299*'GWPs &amp; Fuel EFs'!$D$11</f>
        <v>10905.911032103682</v>
      </c>
      <c r="L299" s="28"/>
      <c r="M299" s="80">
        <f>F299*'GWPs &amp; Fuel EFs'!$M$76</f>
        <v>85.884049377816496</v>
      </c>
      <c r="N299" s="80">
        <f>M299*'GWPs &amp; Fuel EFs'!$E$11</f>
        <v>25593.446714589314</v>
      </c>
      <c r="P299" s="33" t="s">
        <v>1270</v>
      </c>
      <c r="Q299" s="177">
        <f>GIS!Q78*GIS!$C45</f>
        <v>0</v>
      </c>
    </row>
    <row r="300" spans="1:17" ht="14.5">
      <c r="A300" s="221"/>
      <c r="B300" s="224"/>
      <c r="D300" s="81" t="s">
        <v>391</v>
      </c>
      <c r="E300" s="94" t="s">
        <v>16</v>
      </c>
      <c r="F300" s="95">
        <f>(Q301+Q306)*'GIS Heat Input'!F21</f>
        <v>11487492.563989189</v>
      </c>
      <c r="G300" s="28"/>
      <c r="H300" s="80">
        <f>F300*'GWPs &amp; Fuel EFs'!$N$21</f>
        <v>2404791685.3570876</v>
      </c>
      <c r="I300" s="28"/>
      <c r="J300" s="80">
        <f>F300*'GWPs &amp; Fuel EFs'!$M$49</f>
        <v>721437.50560712628</v>
      </c>
      <c r="K300" s="80">
        <f>J300*'GWPs &amp; Fuel EFs'!$D$11</f>
        <v>18035937.640178159</v>
      </c>
      <c r="L300" s="28"/>
      <c r="M300" s="80">
        <f>F300*'GWPs &amp; Fuel EFs'!$M$77</f>
        <v>96191.667414283511</v>
      </c>
      <c r="N300" s="80">
        <f>M300*'GWPs &amp; Fuel EFs'!$E$11</f>
        <v>28665116.889456484</v>
      </c>
      <c r="P300" s="33" t="s">
        <v>1271</v>
      </c>
      <c r="Q300" s="177">
        <f>GIS!Q79*GIS!$C46</f>
        <v>61835.475452617844</v>
      </c>
    </row>
    <row r="301" spans="1:17" ht="14.5">
      <c r="A301" s="221"/>
      <c r="B301" s="221"/>
      <c r="D301" s="81" t="s">
        <v>396</v>
      </c>
      <c r="E301" s="94" t="s">
        <v>69</v>
      </c>
      <c r="F301" s="95">
        <f>Q291+Q308</f>
        <v>3373653.216430401</v>
      </c>
      <c r="G301" s="28"/>
      <c r="H301" s="80">
        <f>F301*'GWPs &amp; Fuel EFs'!$N$23</f>
        <v>697649899.70135677</v>
      </c>
      <c r="I301" s="28"/>
      <c r="J301" s="80">
        <f>F301*'GWPs &amp; Fuel EFs'!$M$51</f>
        <v>53550.951789443163</v>
      </c>
      <c r="K301" s="80">
        <f>J301*'GWPs &amp; Fuel EFs'!$D$11</f>
        <v>1338773.7947360792</v>
      </c>
      <c r="L301" s="28"/>
      <c r="M301" s="80">
        <f>F301*'GWPs &amp; Fuel EFs'!$M$79</f>
        <v>26775.475894721581</v>
      </c>
      <c r="N301" s="80">
        <f>M301*'GWPs &amp; Fuel EFs'!$E$11</f>
        <v>7979091.8166270312</v>
      </c>
      <c r="P301" s="33" t="s">
        <v>1272</v>
      </c>
      <c r="Q301" s="177">
        <f>GIS!Q80*GIS!$C47</f>
        <v>0</v>
      </c>
    </row>
    <row r="302" spans="1:17" ht="14.5">
      <c r="A302" s="221"/>
      <c r="B302" s="221"/>
      <c r="D302" s="81" t="s">
        <v>2287</v>
      </c>
      <c r="E302" s="94" t="s">
        <v>68</v>
      </c>
      <c r="F302" s="95">
        <f>Q290+Q294</f>
        <v>0</v>
      </c>
      <c r="G302" s="28"/>
      <c r="H302" s="80">
        <f>F302*'GWPs &amp; Fuel EFs'!$N$27</f>
        <v>0</v>
      </c>
      <c r="I302" s="28"/>
      <c r="J302" s="80">
        <f>F302*'GWPs &amp; Fuel EFs'!$M$55</f>
        <v>0</v>
      </c>
      <c r="K302" s="80">
        <f>J302*'GWPs &amp; Fuel EFs'!$D$11</f>
        <v>0</v>
      </c>
      <c r="L302" s="28"/>
      <c r="M302" s="80">
        <f>F302*'GWPs &amp; Fuel EFs'!$M$83</f>
        <v>0</v>
      </c>
      <c r="N302" s="80">
        <f>M302*'GWPs &amp; Fuel EFs'!$E$11</f>
        <v>0</v>
      </c>
      <c r="P302" s="33" t="s">
        <v>1273</v>
      </c>
      <c r="Q302" s="177">
        <f>GIS!Q81*GIS!$C48</f>
        <v>0</v>
      </c>
    </row>
    <row r="303" spans="1:17" ht="14.5">
      <c r="A303" s="221"/>
      <c r="B303" s="222"/>
      <c r="D303" s="28"/>
      <c r="E303" s="28"/>
      <c r="F303" s="80"/>
      <c r="G303" s="28"/>
      <c r="H303" s="83">
        <f>SUM(H299:H302)</f>
        <v>3109539969.9014649</v>
      </c>
      <c r="I303" s="28"/>
      <c r="J303" s="28"/>
      <c r="K303" s="83">
        <f>SUM(K299:K302)</f>
        <v>19385617.345946342</v>
      </c>
      <c r="L303" s="28"/>
      <c r="M303" s="28"/>
      <c r="N303" s="83">
        <f>SUM(N299:N302)</f>
        <v>36669802.152798101</v>
      </c>
      <c r="P303" s="33" t="s">
        <v>1274</v>
      </c>
      <c r="Q303" s="177">
        <f>GIS!Q82*GIS!$C49</f>
        <v>0</v>
      </c>
    </row>
    <row r="304" spans="1:17" ht="14.5">
      <c r="A304" s="221"/>
      <c r="B304" s="221"/>
      <c r="P304" s="33" t="s">
        <v>1275</v>
      </c>
      <c r="Q304" s="177">
        <f>GIS!Q83*GIS!$C50</f>
        <v>0</v>
      </c>
    </row>
    <row r="305" spans="1:17" ht="14.5">
      <c r="A305" s="221"/>
      <c r="B305" s="221"/>
      <c r="D305" s="28"/>
      <c r="E305" s="28"/>
      <c r="F305" s="28"/>
      <c r="G305" s="28"/>
      <c r="H305" s="28"/>
      <c r="I305" s="28"/>
      <c r="J305" s="28"/>
      <c r="K305" s="86"/>
      <c r="L305" s="28"/>
      <c r="M305" s="28"/>
      <c r="N305" s="28"/>
      <c r="P305" s="43" t="s">
        <v>1276</v>
      </c>
      <c r="Q305" s="177">
        <f>GIS!Q84*GIS!$C51</f>
        <v>0</v>
      </c>
    </row>
    <row r="306" spans="1:17" ht="14.5">
      <c r="A306" s="221"/>
      <c r="B306" s="221"/>
      <c r="P306" s="33" t="s">
        <v>1277</v>
      </c>
      <c r="Q306" s="177">
        <f>GIS!Q85*GIS!$C52</f>
        <v>19565434.796520628</v>
      </c>
    </row>
    <row r="307" spans="1:17" ht="14.5">
      <c r="A307" s="221"/>
      <c r="B307" s="221"/>
      <c r="P307" s="33" t="s">
        <v>1278</v>
      </c>
      <c r="Q307" s="177">
        <f>GIS!Q86*GIS!$C53</f>
        <v>0</v>
      </c>
    </row>
    <row r="308" spans="1:17" ht="14.5">
      <c r="A308" s="221"/>
      <c r="B308" s="221"/>
      <c r="P308" s="33" t="s">
        <v>1279</v>
      </c>
      <c r="Q308" s="177">
        <f>GIS!Q87*GIS!$C54</f>
        <v>0</v>
      </c>
    </row>
    <row r="310" spans="1:17">
      <c r="A310" s="174"/>
      <c r="B310" s="174"/>
      <c r="C310" s="174"/>
      <c r="D310" s="174"/>
      <c r="E310" s="174"/>
      <c r="F310" s="174"/>
      <c r="G310" s="174"/>
      <c r="H310" s="174"/>
      <c r="I310" s="174"/>
      <c r="J310" s="174"/>
      <c r="K310" s="174"/>
      <c r="L310" s="174"/>
      <c r="M310" s="174"/>
      <c r="N310" s="174"/>
      <c r="O310" s="174"/>
      <c r="P310" s="174"/>
      <c r="Q310" s="174"/>
    </row>
    <row r="311" spans="1:17" ht="13">
      <c r="P311" s="178" t="s">
        <v>2568</v>
      </c>
    </row>
    <row r="312" spans="1:17" ht="13">
      <c r="A312" s="215" t="s">
        <v>2547</v>
      </c>
      <c r="B312" s="216"/>
      <c r="D312" s="77" t="s">
        <v>206</v>
      </c>
      <c r="E312" s="77"/>
      <c r="F312" s="77"/>
      <c r="G312" s="28"/>
      <c r="H312" s="77" t="s">
        <v>206</v>
      </c>
      <c r="I312" s="77"/>
      <c r="J312" s="77" t="s">
        <v>206</v>
      </c>
      <c r="K312" s="77"/>
      <c r="L312" s="28"/>
      <c r="M312" s="77" t="s">
        <v>206</v>
      </c>
      <c r="N312" s="77"/>
      <c r="P312" s="803" t="s">
        <v>2550</v>
      </c>
      <c r="Q312" s="804" t="s">
        <v>1308</v>
      </c>
    </row>
    <row r="313" spans="1:17" ht="13">
      <c r="A313" s="216">
        <f>A289</f>
        <v>2021</v>
      </c>
      <c r="B313" s="216"/>
      <c r="D313" s="77" t="s">
        <v>207</v>
      </c>
      <c r="E313" s="77"/>
      <c r="F313" s="77"/>
      <c r="G313" s="78"/>
      <c r="H313" s="77" t="s">
        <v>208</v>
      </c>
      <c r="I313" s="77"/>
      <c r="J313" s="77" t="s">
        <v>209</v>
      </c>
      <c r="K313" s="77"/>
      <c r="L313" s="28"/>
      <c r="M313" s="77" t="s">
        <v>210</v>
      </c>
      <c r="N313" s="77"/>
      <c r="P313" s="803"/>
      <c r="Q313" s="804"/>
    </row>
    <row r="314" spans="1:17" ht="35.5">
      <c r="A314" s="217"/>
      <c r="B314" s="218" t="s">
        <v>333</v>
      </c>
      <c r="C314" s="12"/>
      <c r="D314" s="79" t="s">
        <v>211</v>
      </c>
      <c r="E314" s="79" t="s">
        <v>212</v>
      </c>
      <c r="F314" s="79" t="s">
        <v>2533</v>
      </c>
      <c r="G314" s="28"/>
      <c r="H314" s="66" t="s">
        <v>331</v>
      </c>
      <c r="I314" s="78"/>
      <c r="J314" s="66" t="s">
        <v>332</v>
      </c>
      <c r="K314" s="66" t="s">
        <v>333</v>
      </c>
      <c r="L314" s="78"/>
      <c r="M314" s="66" t="s">
        <v>334</v>
      </c>
      <c r="N314" s="66" t="s">
        <v>333</v>
      </c>
      <c r="P314" s="98" t="s">
        <v>2285</v>
      </c>
      <c r="Q314" s="177">
        <f>GIS!T94*GIS!$B36</f>
        <v>0</v>
      </c>
    </row>
    <row r="315" spans="1:17" ht="14.5">
      <c r="A315" s="219" t="s">
        <v>214</v>
      </c>
      <c r="B315" s="220">
        <f>SUM(B316:B320)</f>
        <v>2500018387.0943618</v>
      </c>
      <c r="C315" s="12"/>
      <c r="D315" s="66" t="s">
        <v>215</v>
      </c>
      <c r="E315" s="78"/>
      <c r="F315" s="66"/>
      <c r="G315" s="80"/>
      <c r="H315" s="78"/>
      <c r="I315" s="78"/>
      <c r="J315" s="78"/>
      <c r="K315" s="78"/>
      <c r="L315" s="78"/>
      <c r="M315" s="78"/>
      <c r="N315" s="78"/>
      <c r="O315" s="12"/>
      <c r="P315" s="33" t="s">
        <v>1262</v>
      </c>
      <c r="Q315" s="177">
        <f>GIS!T95*GIS!$B37</f>
        <v>0</v>
      </c>
    </row>
    <row r="316" spans="1:17" ht="14.5">
      <c r="A316" s="221" t="s">
        <v>1401</v>
      </c>
      <c r="B316" s="222">
        <f>H320</f>
        <v>2377585198.7986407</v>
      </c>
      <c r="D316" s="81" t="s">
        <v>2534</v>
      </c>
      <c r="E316" s="94" t="s">
        <v>46</v>
      </c>
      <c r="F316" s="95">
        <f>Q317+Q328</f>
        <v>0</v>
      </c>
      <c r="G316" s="28"/>
      <c r="H316" s="80">
        <f>F316*'GWPs &amp; Fuel EFs'!$N$7</f>
        <v>0</v>
      </c>
      <c r="I316" s="28"/>
      <c r="J316" s="80">
        <f>F316*'GWPs &amp; Fuel EFs'!$M$35</f>
        <v>0</v>
      </c>
      <c r="K316" s="80">
        <f>J316*'GWPs &amp; Fuel EFs'!$D$11</f>
        <v>0</v>
      </c>
      <c r="L316" s="28"/>
      <c r="M316" s="80">
        <f>F316*'GWPs &amp; Fuel EFs'!$M$63</f>
        <v>0</v>
      </c>
      <c r="N316" s="80">
        <f>M316*'GWPs &amp; Fuel EFs'!$E$11</f>
        <v>0</v>
      </c>
      <c r="O316" s="12"/>
      <c r="P316" s="33" t="s">
        <v>1263</v>
      </c>
      <c r="Q316" s="177">
        <f>GIS!T96*GIS!$B38</f>
        <v>0</v>
      </c>
    </row>
    <row r="317" spans="1:17" ht="14.5">
      <c r="A317" s="221" t="s">
        <v>216</v>
      </c>
      <c r="B317" s="222">
        <f>K319</f>
        <v>19445898.572507959</v>
      </c>
      <c r="D317" s="81" t="s">
        <v>380</v>
      </c>
      <c r="E317" s="94" t="s">
        <v>39</v>
      </c>
      <c r="F317" s="95">
        <f>Q326</f>
        <v>0</v>
      </c>
      <c r="G317" s="28"/>
      <c r="H317" s="80">
        <f>F317*'GWPs &amp; Fuel EFs'!$N$8</f>
        <v>0</v>
      </c>
      <c r="I317" s="28"/>
      <c r="J317" s="80">
        <f>F317*'GWPs &amp; Fuel EFs'!$M$36</f>
        <v>0</v>
      </c>
      <c r="K317" s="80">
        <f>J317*'GWPs &amp; Fuel EFs'!$D$11</f>
        <v>0</v>
      </c>
      <c r="L317" s="28"/>
      <c r="M317" s="80">
        <f>F317*'GWPs &amp; Fuel EFs'!$M$64</f>
        <v>0</v>
      </c>
      <c r="N317" s="80">
        <f>M317*'GWPs &amp; Fuel EFs'!$E$11</f>
        <v>0</v>
      </c>
      <c r="P317" s="33" t="s">
        <v>1264</v>
      </c>
      <c r="Q317" s="177">
        <f>GIS!T97*GIS!$B39</f>
        <v>0</v>
      </c>
    </row>
    <row r="318" spans="1:17" ht="14.5">
      <c r="A318" s="221" t="s">
        <v>217</v>
      </c>
      <c r="B318" s="222">
        <f>N319</f>
        <v>30906014.797905996</v>
      </c>
      <c r="D318" s="81" t="s">
        <v>394</v>
      </c>
      <c r="E318" s="94" t="s">
        <v>17</v>
      </c>
      <c r="F318" s="95">
        <f>(Q325+Q330)*'GIS Heat Input'!F30</f>
        <v>11733658.347048465</v>
      </c>
      <c r="G318" s="28"/>
      <c r="H318" s="80">
        <f>F318*'GWPs &amp; Fuel EFs'!$N$9</f>
        <v>2377585198.7986407</v>
      </c>
      <c r="I318" s="28"/>
      <c r="J318" s="80">
        <f>F318*'GWPs &amp; Fuel EFs'!$M$37</f>
        <v>777835.94290031842</v>
      </c>
      <c r="K318" s="80">
        <f>J318*'GWPs &amp; Fuel EFs'!$D$11</f>
        <v>19445898.572507959</v>
      </c>
      <c r="L318" s="28"/>
      <c r="M318" s="80">
        <f>F318*'GWPs &amp; Fuel EFs'!$M$65</f>
        <v>103711.45905337583</v>
      </c>
      <c r="N318" s="80">
        <f>M318*'GWPs &amp; Fuel EFs'!$E$11</f>
        <v>30906014.797905996</v>
      </c>
      <c r="P318" s="33" t="s">
        <v>1265</v>
      </c>
      <c r="Q318" s="177">
        <f>GIS!T98*GIS!$B40</f>
        <v>0</v>
      </c>
    </row>
    <row r="319" spans="1:17" ht="14.5">
      <c r="A319" s="221" t="s">
        <v>218</v>
      </c>
      <c r="B319" s="222">
        <f>K327</f>
        <v>27822096.640058331</v>
      </c>
      <c r="D319" s="135" t="s">
        <v>3077</v>
      </c>
      <c r="E319" s="94" t="s">
        <v>3074</v>
      </c>
      <c r="F319" s="95">
        <f>Q320</f>
        <v>0</v>
      </c>
      <c r="G319" s="28"/>
      <c r="H319" s="143">
        <f>GIS!T100*'GWPs &amp; Fuel EFs'!$E$34</f>
        <v>0</v>
      </c>
      <c r="I319" s="28"/>
      <c r="J319" s="80"/>
      <c r="K319" s="83">
        <f>SUM(K316:K318)</f>
        <v>19445898.572507959</v>
      </c>
      <c r="L319" s="28"/>
      <c r="M319" s="80"/>
      <c r="N319" s="83">
        <f>SUM(N316:N318)</f>
        <v>30906014.797905996</v>
      </c>
      <c r="P319" s="33" t="s">
        <v>1266</v>
      </c>
      <c r="Q319" s="177">
        <f>GIS!T99*GIS!$B41</f>
        <v>0</v>
      </c>
    </row>
    <row r="320" spans="1:17" ht="14.5">
      <c r="A320" s="221" t="s">
        <v>219</v>
      </c>
      <c r="B320" s="222">
        <f>N327</f>
        <v>44259178.28524854</v>
      </c>
      <c r="H320" s="83">
        <f>SUM(H316:H319)</f>
        <v>2377585198.7986407</v>
      </c>
      <c r="P320" s="33" t="s">
        <v>1267</v>
      </c>
      <c r="Q320" s="177">
        <f>GIS!T100*GIS!$B42</f>
        <v>0</v>
      </c>
    </row>
    <row r="321" spans="1:17" ht="14.5">
      <c r="A321" s="221"/>
      <c r="B321" s="221"/>
      <c r="P321" s="37" t="s">
        <v>1268</v>
      </c>
      <c r="Q321" s="177">
        <f>GIS!T101*GIS!$B43</f>
        <v>0</v>
      </c>
    </row>
    <row r="322" spans="1:17" ht="14.5">
      <c r="A322" s="223" t="s">
        <v>220</v>
      </c>
      <c r="B322" s="220">
        <f>H327</f>
        <v>3737349810.5867233</v>
      </c>
      <c r="D322" s="66" t="s">
        <v>221</v>
      </c>
      <c r="E322" s="28"/>
      <c r="F322" s="80"/>
      <c r="G322" s="28"/>
      <c r="H322" s="83"/>
      <c r="I322" s="28"/>
      <c r="J322" s="80"/>
      <c r="K322" s="83"/>
      <c r="L322" s="28"/>
      <c r="M322" s="80"/>
      <c r="N322" s="83"/>
      <c r="P322" s="37" t="s">
        <v>1269</v>
      </c>
      <c r="Q322" s="177">
        <f>GIS!T102*GIS!$B44</f>
        <v>0</v>
      </c>
    </row>
    <row r="323" spans="1:17" ht="14.5">
      <c r="A323" s="221"/>
      <c r="B323" s="221"/>
      <c r="D323" s="81" t="s">
        <v>388</v>
      </c>
      <c r="E323" s="94" t="s">
        <v>63</v>
      </c>
      <c r="F323" s="95">
        <f>Q324</f>
        <v>303870.64654747688</v>
      </c>
      <c r="G323" s="28"/>
      <c r="H323" s="80">
        <f>F323*'GWPs &amp; Fuel EFs'!$N$20</f>
        <v>34882739.655560084</v>
      </c>
      <c r="I323" s="28"/>
      <c r="J323" s="80">
        <f>F323*'GWPs &amp; Fuel EFs'!$M$48</f>
        <v>2143.7443229842956</v>
      </c>
      <c r="K323" s="80">
        <f>J323*'GWPs &amp; Fuel EFs'!$D$11</f>
        <v>53593.608074607393</v>
      </c>
      <c r="L323" s="28"/>
      <c r="M323" s="80">
        <f>F323*'GWPs &amp; Fuel EFs'!$M$76</f>
        <v>422.04966358753319</v>
      </c>
      <c r="N323" s="80">
        <f>M323*'GWPs &amp; Fuel EFs'!$E$11</f>
        <v>125770.79974908489</v>
      </c>
      <c r="P323" s="33" t="s">
        <v>1270</v>
      </c>
      <c r="Q323" s="177">
        <f>GIS!T103*GIS!$B45</f>
        <v>0</v>
      </c>
    </row>
    <row r="324" spans="1:17" ht="14.5">
      <c r="A324" s="221"/>
      <c r="B324" s="224"/>
      <c r="D324" s="81" t="s">
        <v>391</v>
      </c>
      <c r="E324" s="94" t="s">
        <v>16</v>
      </c>
      <c r="F324" s="95">
        <f>(Q325+Q330)*'GIS Heat Input'!F33</f>
        <v>17686381.404558532</v>
      </c>
      <c r="G324" s="28"/>
      <c r="H324" s="80">
        <f>F324*'GWPs &amp; Fuel EFs'!$N$21</f>
        <v>3702467070.9311633</v>
      </c>
      <c r="I324" s="28"/>
      <c r="J324" s="80">
        <f>F324*'GWPs &amp; Fuel EFs'!$M$49</f>
        <v>1110740.1212793489</v>
      </c>
      <c r="K324" s="80">
        <f>J324*'GWPs &amp; Fuel EFs'!$D$11</f>
        <v>27768503.031983722</v>
      </c>
      <c r="L324" s="28"/>
      <c r="M324" s="80">
        <f>F324*'GWPs &amp; Fuel EFs'!$M$77</f>
        <v>148098.68283724651</v>
      </c>
      <c r="N324" s="80">
        <f>M324*'GWPs &amp; Fuel EFs'!$E$11</f>
        <v>44133407.485499457</v>
      </c>
      <c r="P324" s="33" t="s">
        <v>1271</v>
      </c>
      <c r="Q324" s="177">
        <f>GIS!T104*GIS!$B46</f>
        <v>303870.64654747688</v>
      </c>
    </row>
    <row r="325" spans="1:17" ht="14.5">
      <c r="A325" s="221"/>
      <c r="B325" s="221"/>
      <c r="D325" s="81" t="s">
        <v>396</v>
      </c>
      <c r="E325" s="94" t="s">
        <v>69</v>
      </c>
      <c r="F325" s="95">
        <f>Q315+Q332</f>
        <v>0</v>
      </c>
      <c r="G325" s="28"/>
      <c r="H325" s="80">
        <f>F325*'GWPs &amp; Fuel EFs'!$N$23</f>
        <v>0</v>
      </c>
      <c r="I325" s="28"/>
      <c r="J325" s="80">
        <f>F325*'GWPs &amp; Fuel EFs'!$M$51</f>
        <v>0</v>
      </c>
      <c r="K325" s="80">
        <f>J325*'GWPs &amp; Fuel EFs'!$D$11</f>
        <v>0</v>
      </c>
      <c r="L325" s="28"/>
      <c r="M325" s="80">
        <f>F325*'GWPs &amp; Fuel EFs'!$M$79</f>
        <v>0</v>
      </c>
      <c r="N325" s="80">
        <f>M325*'GWPs &amp; Fuel EFs'!$E$11</f>
        <v>0</v>
      </c>
      <c r="P325" s="33" t="s">
        <v>1272</v>
      </c>
      <c r="Q325" s="177">
        <f>GIS!T105*GIS!$B47</f>
        <v>10087412.538048137</v>
      </c>
    </row>
    <row r="326" spans="1:17" ht="14.5">
      <c r="A326" s="221"/>
      <c r="B326" s="221"/>
      <c r="D326" s="81" t="s">
        <v>2287</v>
      </c>
      <c r="E326" s="94" t="s">
        <v>68</v>
      </c>
      <c r="F326" s="95">
        <f>Q314+Q318</f>
        <v>0</v>
      </c>
      <c r="G326" s="28"/>
      <c r="H326" s="80">
        <f>F326*'GWPs &amp; Fuel EFs'!$N$27</f>
        <v>0</v>
      </c>
      <c r="I326" s="28"/>
      <c r="J326" s="80">
        <f>F326*'GWPs &amp; Fuel EFs'!$M$55</f>
        <v>0</v>
      </c>
      <c r="K326" s="80">
        <f>J326*'GWPs &amp; Fuel EFs'!$D$11</f>
        <v>0</v>
      </c>
      <c r="L326" s="28"/>
      <c r="M326" s="80">
        <f>F326*'GWPs &amp; Fuel EFs'!$M$83</f>
        <v>0</v>
      </c>
      <c r="N326" s="80">
        <f>M326*'GWPs &amp; Fuel EFs'!$E$11</f>
        <v>0</v>
      </c>
      <c r="P326" s="33" t="s">
        <v>1273</v>
      </c>
      <c r="Q326" s="177">
        <f>GIS!T106*GIS!$B48</f>
        <v>0</v>
      </c>
    </row>
    <row r="327" spans="1:17" ht="14.5">
      <c r="A327" s="225"/>
      <c r="B327" s="226"/>
      <c r="D327" s="28"/>
      <c r="E327" s="28"/>
      <c r="F327" s="80"/>
      <c r="G327" s="28"/>
      <c r="H327" s="83">
        <f>SUM(H323:H326)</f>
        <v>3737349810.5867233</v>
      </c>
      <c r="I327" s="28"/>
      <c r="J327" s="28"/>
      <c r="K327" s="83">
        <f>SUM(K323:K326)</f>
        <v>27822096.640058331</v>
      </c>
      <c r="L327" s="28"/>
      <c r="M327" s="28"/>
      <c r="N327" s="83">
        <f>SUM(N323:N326)</f>
        <v>44259178.28524854</v>
      </c>
      <c r="P327" s="33" t="s">
        <v>1274</v>
      </c>
      <c r="Q327" s="177">
        <f>GIS!T107*GIS!$B49</f>
        <v>0</v>
      </c>
    </row>
    <row r="328" spans="1:17" ht="14.5">
      <c r="A328" s="225"/>
      <c r="B328" s="226"/>
      <c r="P328" s="33" t="s">
        <v>1275</v>
      </c>
      <c r="Q328" s="177">
        <f>GIS!T108*GIS!$B50</f>
        <v>0</v>
      </c>
    </row>
    <row r="329" spans="1:17" ht="14.5">
      <c r="A329" s="225"/>
      <c r="B329" s="226"/>
      <c r="P329" s="43" t="s">
        <v>1276</v>
      </c>
      <c r="Q329" s="177">
        <f>GIS!T109*GIS!$B51</f>
        <v>0</v>
      </c>
    </row>
    <row r="330" spans="1:17" ht="14.5">
      <c r="A330" s="225"/>
      <c r="B330" s="226"/>
      <c r="P330" s="33" t="s">
        <v>1277</v>
      </c>
      <c r="Q330" s="177">
        <f>GIS!T110*GIS!$B52</f>
        <v>19332627.21355886</v>
      </c>
    </row>
    <row r="331" spans="1:17" ht="14.5">
      <c r="A331" s="225"/>
      <c r="B331" s="226"/>
      <c r="P331" s="33" t="s">
        <v>1278</v>
      </c>
      <c r="Q331" s="177">
        <f>GIS!T111*GIS!$B53</f>
        <v>0</v>
      </c>
    </row>
    <row r="332" spans="1:17" ht="14.5">
      <c r="A332" s="225"/>
      <c r="B332" s="226"/>
      <c r="P332" s="33" t="s">
        <v>1279</v>
      </c>
      <c r="Q332" s="177">
        <f>GIS!T112*GIS!$B54</f>
        <v>0</v>
      </c>
    </row>
    <row r="333" spans="1:17">
      <c r="O333" s="12"/>
    </row>
    <row r="334" spans="1:17">
      <c r="A334" s="174"/>
      <c r="B334" s="174"/>
      <c r="C334" s="174"/>
      <c r="D334" s="174"/>
      <c r="E334" s="174"/>
      <c r="F334" s="174"/>
      <c r="G334" s="174"/>
      <c r="H334" s="174"/>
      <c r="I334" s="174"/>
      <c r="J334" s="174"/>
      <c r="K334" s="174"/>
      <c r="L334" s="174"/>
      <c r="M334" s="174"/>
      <c r="N334" s="174"/>
      <c r="O334" s="174"/>
      <c r="P334" s="174"/>
      <c r="Q334" s="174"/>
    </row>
    <row r="335" spans="1:17" ht="13">
      <c r="P335" s="178" t="s">
        <v>2567</v>
      </c>
    </row>
    <row r="336" spans="1:17" ht="13">
      <c r="A336" s="215" t="s">
        <v>2548</v>
      </c>
      <c r="B336" s="216"/>
      <c r="D336" s="77" t="s">
        <v>222</v>
      </c>
      <c r="E336" s="77"/>
      <c r="F336" s="77"/>
      <c r="G336" s="28"/>
      <c r="H336" s="77" t="s">
        <v>222</v>
      </c>
      <c r="I336" s="28"/>
      <c r="J336" s="77" t="s">
        <v>222</v>
      </c>
      <c r="K336" s="77"/>
      <c r="L336" s="28"/>
      <c r="M336" s="77" t="s">
        <v>222</v>
      </c>
      <c r="N336" s="77"/>
      <c r="P336" s="803" t="s">
        <v>2550</v>
      </c>
      <c r="Q336" s="804" t="s">
        <v>1397</v>
      </c>
    </row>
    <row r="337" spans="1:17" ht="13">
      <c r="A337" s="216">
        <f>A289</f>
        <v>2021</v>
      </c>
      <c r="B337" s="216"/>
      <c r="D337" s="77" t="s">
        <v>207</v>
      </c>
      <c r="E337" s="77"/>
      <c r="F337" s="77"/>
      <c r="G337" s="28"/>
      <c r="H337" s="77" t="s">
        <v>208</v>
      </c>
      <c r="I337" s="28"/>
      <c r="J337" s="77" t="s">
        <v>209</v>
      </c>
      <c r="K337" s="77"/>
      <c r="L337" s="28"/>
      <c r="M337" s="77" t="s">
        <v>210</v>
      </c>
      <c r="N337" s="77"/>
      <c r="P337" s="803"/>
      <c r="Q337" s="804" t="s">
        <v>1294</v>
      </c>
    </row>
    <row r="338" spans="1:17" ht="35.5">
      <c r="A338" s="217"/>
      <c r="B338" s="218" t="s">
        <v>333</v>
      </c>
      <c r="C338" s="12"/>
      <c r="D338" s="79" t="s">
        <v>211</v>
      </c>
      <c r="E338" s="79" t="s">
        <v>212</v>
      </c>
      <c r="F338" s="79" t="str">
        <f>F314</f>
        <v>Heat Input from GIS certificates (MMBtu)</v>
      </c>
      <c r="G338" s="28"/>
      <c r="H338" s="66" t="s">
        <v>331</v>
      </c>
      <c r="I338" s="78"/>
      <c r="J338" s="66" t="s">
        <v>332</v>
      </c>
      <c r="K338" s="66" t="s">
        <v>333</v>
      </c>
      <c r="L338" s="78"/>
      <c r="M338" s="66" t="s">
        <v>334</v>
      </c>
      <c r="N338" s="66" t="s">
        <v>333</v>
      </c>
      <c r="P338" s="98" t="s">
        <v>2285</v>
      </c>
      <c r="Q338" s="177">
        <f>GIS!Y119*GIS!$D36</f>
        <v>0</v>
      </c>
    </row>
    <row r="339" spans="1:17" ht="14.5">
      <c r="A339" s="219" t="s">
        <v>214</v>
      </c>
      <c r="B339" s="220">
        <f>SUM(B340:B344)+F343</f>
        <v>232999755.68476653</v>
      </c>
      <c r="D339" s="66" t="s">
        <v>215</v>
      </c>
      <c r="E339" s="78"/>
      <c r="G339" s="28"/>
      <c r="H339" s="28"/>
      <c r="I339" s="28"/>
      <c r="J339" s="78"/>
      <c r="K339" s="78"/>
      <c r="L339" s="28"/>
      <c r="M339" s="78"/>
      <c r="N339" s="78"/>
      <c r="P339" s="33" t="s">
        <v>1262</v>
      </c>
      <c r="Q339" s="177">
        <f>GIS!Y120*GIS!$D37</f>
        <v>348049.43764358421</v>
      </c>
    </row>
    <row r="340" spans="1:17" ht="14.5">
      <c r="A340" s="221" t="s">
        <v>1401</v>
      </c>
      <c r="B340" s="222">
        <f>H343</f>
        <v>223631555.39518026</v>
      </c>
      <c r="D340" s="81" t="s">
        <v>2534</v>
      </c>
      <c r="E340" s="94" t="s">
        <v>46</v>
      </c>
      <c r="F340" s="95">
        <f>Q341+Q352</f>
        <v>0</v>
      </c>
      <c r="G340" s="28"/>
      <c r="H340" s="80">
        <f>F340*'GWPs &amp; Fuel EFs'!$N$7</f>
        <v>0</v>
      </c>
      <c r="I340" s="28"/>
      <c r="J340" s="80">
        <f>F340*'GWPs &amp; Fuel EFs'!$M$35</f>
        <v>0</v>
      </c>
      <c r="K340" s="80">
        <f>J340*'GWPs &amp; Fuel EFs'!$D$11</f>
        <v>0</v>
      </c>
      <c r="L340" s="28"/>
      <c r="M340" s="80">
        <f>F340*'GWPs &amp; Fuel EFs'!$M$63</f>
        <v>0</v>
      </c>
      <c r="N340" s="80">
        <f>M340*'GWPs &amp; Fuel EFs'!$E$11</f>
        <v>0</v>
      </c>
      <c r="P340" s="33" t="s">
        <v>1263</v>
      </c>
      <c r="Q340" s="177">
        <f>GIS!Y121*GIS!$D38</f>
        <v>0</v>
      </c>
    </row>
    <row r="341" spans="1:17" ht="14.5">
      <c r="A341" s="221" t="s">
        <v>216</v>
      </c>
      <c r="B341" s="222">
        <f>K343</f>
        <v>1829047.6177359337</v>
      </c>
      <c r="D341" s="81" t="s">
        <v>380</v>
      </c>
      <c r="E341" s="94" t="s">
        <v>39</v>
      </c>
      <c r="F341" s="95">
        <f>Q350</f>
        <v>0</v>
      </c>
      <c r="G341" s="28"/>
      <c r="H341" s="80">
        <f>F341*'GWPs &amp; Fuel EFs'!$N$8</f>
        <v>0</v>
      </c>
      <c r="I341" s="28"/>
      <c r="J341" s="80">
        <f>F341*'GWPs &amp; Fuel EFs'!$M$36</f>
        <v>0</v>
      </c>
      <c r="K341" s="80">
        <f>J341*'GWPs &amp; Fuel EFs'!$D$11</f>
        <v>0</v>
      </c>
      <c r="L341" s="28"/>
      <c r="M341" s="80">
        <f>F341*'GWPs &amp; Fuel EFs'!$M$64</f>
        <v>0</v>
      </c>
      <c r="N341" s="80">
        <f>M341*'GWPs &amp; Fuel EFs'!$E$11</f>
        <v>0</v>
      </c>
      <c r="P341" s="33" t="s">
        <v>1264</v>
      </c>
      <c r="Q341" s="177">
        <f>GIS!Y122*GIS!$D39</f>
        <v>0</v>
      </c>
    </row>
    <row r="342" spans="1:17" ht="14.5">
      <c r="A342" s="221" t="s">
        <v>217</v>
      </c>
      <c r="B342" s="222">
        <f>N343</f>
        <v>2906966.3471216452</v>
      </c>
      <c r="D342" s="81" t="s">
        <v>394</v>
      </c>
      <c r="E342" s="94" t="s">
        <v>17</v>
      </c>
      <c r="F342" s="95">
        <f>(Q349+Q354)*'GIS Heat Input'!F42</f>
        <v>1103647.6286746592</v>
      </c>
      <c r="G342" s="28"/>
      <c r="H342" s="80">
        <f>F342*'GWPs &amp; Fuel EFs'!$N$9</f>
        <v>223631555.39518026</v>
      </c>
      <c r="I342" s="28"/>
      <c r="J342" s="80">
        <f>F342*'GWPs &amp; Fuel EFs'!$M$37</f>
        <v>73161.904709437353</v>
      </c>
      <c r="K342" s="80">
        <f>J342*'GWPs &amp; Fuel EFs'!$D$11</f>
        <v>1829047.6177359337</v>
      </c>
      <c r="L342" s="28"/>
      <c r="M342" s="80">
        <f>F342*'GWPs &amp; Fuel EFs'!$M$65</f>
        <v>9754.9206279249847</v>
      </c>
      <c r="N342" s="80">
        <f>M342*'GWPs &amp; Fuel EFs'!$E$11</f>
        <v>2906966.3471216452</v>
      </c>
      <c r="P342" s="33" t="s">
        <v>1265</v>
      </c>
      <c r="Q342" s="177">
        <f>GIS!Y123*GIS!$D40</f>
        <v>0</v>
      </c>
    </row>
    <row r="343" spans="1:17" ht="14.5">
      <c r="A343" s="221" t="s">
        <v>218</v>
      </c>
      <c r="B343" s="222">
        <f>K351</f>
        <v>1555814.433371098</v>
      </c>
      <c r="D343" s="81"/>
      <c r="E343" s="82"/>
      <c r="F343" s="80"/>
      <c r="G343" s="28"/>
      <c r="H343" s="83">
        <f>SUM(H340:H342)</f>
        <v>223631555.39518026</v>
      </c>
      <c r="I343" s="28"/>
      <c r="J343" s="80"/>
      <c r="K343" s="83">
        <f>SUM(K340:K342)</f>
        <v>1829047.6177359337</v>
      </c>
      <c r="L343" s="28"/>
      <c r="M343" s="80"/>
      <c r="N343" s="83">
        <f>SUM(N340:N342)</f>
        <v>2906966.3471216452</v>
      </c>
      <c r="P343" s="33" t="s">
        <v>1266</v>
      </c>
      <c r="Q343" s="177">
        <f>GIS!Y124*GIS!$D41</f>
        <v>0</v>
      </c>
    </row>
    <row r="344" spans="1:17" ht="14.5">
      <c r="A344" s="221" t="s">
        <v>219</v>
      </c>
      <c r="B344" s="222">
        <f>N351</f>
        <v>3076371.8913575932</v>
      </c>
      <c r="E344" s="28"/>
      <c r="G344" s="28"/>
      <c r="P344" s="33" t="s">
        <v>1267</v>
      </c>
      <c r="Q344" s="177">
        <f>GIS!Y125*GIS!$D42</f>
        <v>0</v>
      </c>
    </row>
    <row r="345" spans="1:17" ht="14.5">
      <c r="A345" s="221"/>
      <c r="B345" s="221"/>
      <c r="P345" s="37" t="s">
        <v>1268</v>
      </c>
      <c r="Q345" s="177">
        <f>GIS!Y126*GIS!$D43</f>
        <v>0</v>
      </c>
    </row>
    <row r="346" spans="1:17" ht="14.5">
      <c r="A346" s="221"/>
      <c r="B346" s="221"/>
      <c r="D346" s="66" t="s">
        <v>221</v>
      </c>
      <c r="E346" s="28"/>
      <c r="F346" s="80"/>
      <c r="P346" s="37" t="s">
        <v>1269</v>
      </c>
      <c r="Q346" s="177">
        <f>GIS!Y127*GIS!$D44</f>
        <v>0</v>
      </c>
    </row>
    <row r="347" spans="1:17" ht="14.5">
      <c r="A347" s="223" t="s">
        <v>220</v>
      </c>
      <c r="B347" s="220">
        <f>H351</f>
        <v>261000697.33437103</v>
      </c>
      <c r="D347" s="81" t="s">
        <v>388</v>
      </c>
      <c r="E347" s="94" t="s">
        <v>63</v>
      </c>
      <c r="F347" s="95">
        <f>Q348</f>
        <v>0</v>
      </c>
      <c r="G347" s="28"/>
      <c r="H347" s="80">
        <f>F347*'GWPs &amp; Fuel EFs'!$N$20</f>
        <v>0</v>
      </c>
      <c r="I347" s="28"/>
      <c r="J347" s="80">
        <f>F347*'GWPs &amp; Fuel EFs'!$M$48</f>
        <v>0</v>
      </c>
      <c r="K347" s="80">
        <f>J347*'GWPs &amp; Fuel EFs'!$D$11</f>
        <v>0</v>
      </c>
      <c r="L347" s="28"/>
      <c r="M347" s="80">
        <f>F347*'GWPs &amp; Fuel EFs'!$M$76</f>
        <v>0</v>
      </c>
      <c r="N347" s="80">
        <f>M347*'GWPs &amp; Fuel EFs'!$E$11</f>
        <v>0</v>
      </c>
      <c r="P347" s="33" t="s">
        <v>1270</v>
      </c>
      <c r="Q347" s="177">
        <f>GIS!Y128*GIS!$D45</f>
        <v>0</v>
      </c>
    </row>
    <row r="348" spans="1:17" ht="14.5">
      <c r="A348" s="221"/>
      <c r="B348" s="224"/>
      <c r="D348" s="81" t="s">
        <v>391</v>
      </c>
      <c r="E348" s="94" t="s">
        <v>16</v>
      </c>
      <c r="F348" s="95">
        <f>(Q349+Q354)*'GIS Heat Input'!F45</f>
        <v>902963.12774828041</v>
      </c>
      <c r="G348" s="28"/>
      <c r="H348" s="80">
        <f>F348*'GWPs &amp; Fuel EFs'!$N$21</f>
        <v>189026300.53490394</v>
      </c>
      <c r="I348" s="28"/>
      <c r="J348" s="80">
        <f>F348*'GWPs &amp; Fuel EFs'!$M$49</f>
        <v>56707.890160471179</v>
      </c>
      <c r="K348" s="80">
        <f>J348*'GWPs &amp; Fuel EFs'!$D$11</f>
        <v>1417697.2540117796</v>
      </c>
      <c r="L348" s="28"/>
      <c r="M348" s="80">
        <f>F348*'GWPs &amp; Fuel EFs'!$M$77</f>
        <v>7561.0520213961572</v>
      </c>
      <c r="N348" s="80">
        <f>M348*'GWPs &amp; Fuel EFs'!$E$11</f>
        <v>2253193.5023760549</v>
      </c>
      <c r="P348" s="33" t="s">
        <v>1271</v>
      </c>
      <c r="Q348" s="177">
        <f>GIS!Y129*GIS!$D46</f>
        <v>0</v>
      </c>
    </row>
    <row r="349" spans="1:17" ht="14.5">
      <c r="A349" s="221"/>
      <c r="B349" s="221"/>
      <c r="D349" s="81" t="s">
        <v>396</v>
      </c>
      <c r="E349" s="94" t="s">
        <v>69</v>
      </c>
      <c r="F349" s="95">
        <f>Q339+Q356</f>
        <v>348049.43764358421</v>
      </c>
      <c r="G349" s="28"/>
      <c r="H349" s="80">
        <f>F349*'GWPs &amp; Fuel EFs'!$N$23</f>
        <v>71974396.799467102</v>
      </c>
      <c r="I349" s="28"/>
      <c r="J349" s="80">
        <f>F349*'GWPs &amp; Fuel EFs'!$M$51</f>
        <v>5524.6871743727415</v>
      </c>
      <c r="K349" s="80">
        <f>J349*'GWPs &amp; Fuel EFs'!$D$11</f>
        <v>138117.17935931854</v>
      </c>
      <c r="L349" s="28"/>
      <c r="M349" s="80">
        <f>F349*'GWPs &amp; Fuel EFs'!$M$79</f>
        <v>2762.3435871863708</v>
      </c>
      <c r="N349" s="80">
        <f>M349*'GWPs &amp; Fuel EFs'!$E$11</f>
        <v>823178.38898153848</v>
      </c>
      <c r="P349" s="33" t="s">
        <v>1272</v>
      </c>
      <c r="Q349" s="177">
        <f>GIS!Y130*GIS!$D47</f>
        <v>56625.003416327454</v>
      </c>
    </row>
    <row r="350" spans="1:17" ht="14.5">
      <c r="A350" s="221"/>
      <c r="B350" s="221"/>
      <c r="D350" s="81" t="s">
        <v>2287</v>
      </c>
      <c r="E350" s="94" t="s">
        <v>68</v>
      </c>
      <c r="F350" s="95">
        <f>Q338+Q342</f>
        <v>0</v>
      </c>
      <c r="G350" s="28"/>
      <c r="H350" s="80">
        <f>F350*'GWPs &amp; Fuel EFs'!$N$27</f>
        <v>0</v>
      </c>
      <c r="I350" s="28"/>
      <c r="J350" s="80">
        <f>F350*'GWPs &amp; Fuel EFs'!$M$55</f>
        <v>0</v>
      </c>
      <c r="K350" s="80">
        <f>J350*'GWPs &amp; Fuel EFs'!$D$11</f>
        <v>0</v>
      </c>
      <c r="L350" s="28"/>
      <c r="M350" s="80">
        <f>F350*'GWPs &amp; Fuel EFs'!$M$83</f>
        <v>0</v>
      </c>
      <c r="N350" s="80">
        <f>M350*'GWPs &amp; Fuel EFs'!$E$11</f>
        <v>0</v>
      </c>
      <c r="O350" s="12"/>
      <c r="P350" s="33" t="s">
        <v>1273</v>
      </c>
      <c r="Q350" s="177">
        <f>GIS!Y131*GIS!$D48</f>
        <v>0</v>
      </c>
    </row>
    <row r="351" spans="1:17" ht="14.5">
      <c r="A351" s="221"/>
      <c r="B351" s="221"/>
      <c r="D351" s="81"/>
      <c r="F351" s="80"/>
      <c r="G351" s="28"/>
      <c r="H351" s="83">
        <f>SUM(H347:H350)</f>
        <v>261000697.33437103</v>
      </c>
      <c r="I351" s="28"/>
      <c r="J351" s="28"/>
      <c r="K351" s="83">
        <f>SUM(K347:K350)</f>
        <v>1555814.433371098</v>
      </c>
      <c r="L351" s="28"/>
      <c r="M351" s="28"/>
      <c r="N351" s="83">
        <f>SUM(N347:N350)</f>
        <v>3076371.8913575932</v>
      </c>
      <c r="P351" s="33" t="s">
        <v>1274</v>
      </c>
      <c r="Q351" s="177">
        <f>GIS!Y132*GIS!$D49</f>
        <v>0</v>
      </c>
    </row>
    <row r="352" spans="1:17" ht="14.5">
      <c r="A352" s="221"/>
      <c r="B352" s="221"/>
      <c r="D352" s="81"/>
      <c r="E352" s="82"/>
      <c r="F352" s="80"/>
      <c r="G352" s="28"/>
      <c r="P352" s="33" t="s">
        <v>1275</v>
      </c>
      <c r="Q352" s="177">
        <f>GIS!Y133*GIS!$D50</f>
        <v>0</v>
      </c>
    </row>
    <row r="353" spans="1:17" ht="14.5">
      <c r="A353" s="221"/>
      <c r="B353" s="221"/>
      <c r="D353" s="81"/>
      <c r="E353" s="82"/>
      <c r="F353" s="80"/>
      <c r="G353" s="28"/>
      <c r="P353" s="43" t="s">
        <v>1276</v>
      </c>
      <c r="Q353" s="177">
        <f>GIS!Y134*GIS!$D51</f>
        <v>0</v>
      </c>
    </row>
    <row r="354" spans="1:17" ht="14.5">
      <c r="A354" s="221"/>
      <c r="B354" s="221"/>
      <c r="D354" s="81"/>
      <c r="E354" s="82"/>
      <c r="F354" s="80"/>
      <c r="G354" s="28"/>
      <c r="P354" s="33" t="s">
        <v>1277</v>
      </c>
      <c r="Q354" s="177">
        <f>GIS!Y135*GIS!$D52</f>
        <v>1949985.753006612</v>
      </c>
    </row>
    <row r="355" spans="1:17" ht="14.5">
      <c r="A355" s="221"/>
      <c r="B355" s="221"/>
      <c r="P355" s="33" t="s">
        <v>1278</v>
      </c>
      <c r="Q355" s="177">
        <f>GIS!Y136*GIS!$D53</f>
        <v>0</v>
      </c>
    </row>
    <row r="356" spans="1:17" ht="14.5">
      <c r="A356" s="221"/>
      <c r="B356" s="221"/>
      <c r="P356" s="33" t="s">
        <v>1279</v>
      </c>
      <c r="Q356" s="177">
        <f>GIS!Y137*GIS!$D54</f>
        <v>0</v>
      </c>
    </row>
    <row r="358" spans="1:17">
      <c r="A358" s="174"/>
      <c r="B358" s="174"/>
      <c r="C358" s="174"/>
      <c r="D358" s="174"/>
      <c r="E358" s="174"/>
      <c r="F358" s="174"/>
      <c r="G358" s="174"/>
      <c r="H358" s="174"/>
      <c r="I358" s="174"/>
      <c r="J358" s="174"/>
      <c r="K358" s="174"/>
      <c r="L358" s="174"/>
      <c r="M358" s="174"/>
      <c r="N358" s="174"/>
      <c r="O358" s="174"/>
      <c r="P358" s="174"/>
      <c r="Q358" s="174"/>
    </row>
    <row r="359" spans="1:17" ht="13">
      <c r="P359" s="178" t="s">
        <v>2566</v>
      </c>
    </row>
    <row r="360" spans="1:17" ht="13">
      <c r="A360" s="215" t="s">
        <v>2549</v>
      </c>
      <c r="B360" s="216"/>
      <c r="D360" s="77" t="s">
        <v>223</v>
      </c>
      <c r="E360" s="77"/>
      <c r="F360" s="77"/>
      <c r="G360" s="28"/>
      <c r="H360" s="77" t="s">
        <v>223</v>
      </c>
      <c r="I360" s="28"/>
      <c r="J360" s="77" t="s">
        <v>223</v>
      </c>
      <c r="K360" s="77"/>
      <c r="L360" s="28"/>
      <c r="M360" s="77" t="s">
        <v>223</v>
      </c>
      <c r="N360" s="77"/>
      <c r="P360" s="803" t="s">
        <v>2550</v>
      </c>
      <c r="Q360" s="804" t="s">
        <v>1343</v>
      </c>
    </row>
    <row r="361" spans="1:17" ht="13">
      <c r="A361" s="216">
        <f>A289</f>
        <v>2021</v>
      </c>
      <c r="B361" s="216"/>
      <c r="D361" s="77" t="s">
        <v>207</v>
      </c>
      <c r="E361" s="77"/>
      <c r="F361" s="77"/>
      <c r="G361" s="28"/>
      <c r="H361" s="77" t="s">
        <v>208</v>
      </c>
      <c r="I361" s="28"/>
      <c r="J361" s="77" t="s">
        <v>209</v>
      </c>
      <c r="K361" s="77"/>
      <c r="L361" s="28"/>
      <c r="M361" s="77" t="s">
        <v>210</v>
      </c>
      <c r="N361" s="77"/>
      <c r="P361" s="803"/>
      <c r="Q361" s="804"/>
    </row>
    <row r="362" spans="1:17" ht="35.5">
      <c r="A362" s="217"/>
      <c r="B362" s="218" t="s">
        <v>333</v>
      </c>
      <c r="C362" s="12"/>
      <c r="D362" s="79" t="s">
        <v>211</v>
      </c>
      <c r="E362" s="79" t="s">
        <v>212</v>
      </c>
      <c r="F362" s="79" t="str">
        <f>F314</f>
        <v>Heat Input from GIS certificates (MMBtu)</v>
      </c>
      <c r="G362" s="28"/>
      <c r="H362" s="66" t="s">
        <v>331</v>
      </c>
      <c r="I362" s="78"/>
      <c r="J362" s="66" t="s">
        <v>332</v>
      </c>
      <c r="K362" s="66" t="s">
        <v>333</v>
      </c>
      <c r="L362" s="78"/>
      <c r="M362" s="66" t="s">
        <v>334</v>
      </c>
      <c r="N362" s="66" t="s">
        <v>333</v>
      </c>
      <c r="P362" s="98" t="s">
        <v>2285</v>
      </c>
      <c r="Q362" s="177">
        <f>GIS!Z144*GIS!$E36</f>
        <v>0</v>
      </c>
    </row>
    <row r="363" spans="1:17" ht="14.5">
      <c r="A363" s="219" t="s">
        <v>214</v>
      </c>
      <c r="B363" s="220">
        <f>SUM(B364:B368)</f>
        <v>17923692.707352318</v>
      </c>
      <c r="D363" s="66" t="s">
        <v>215</v>
      </c>
      <c r="E363" s="66"/>
      <c r="F363" s="66"/>
      <c r="G363" s="28"/>
      <c r="H363" s="28"/>
      <c r="I363" s="28"/>
      <c r="J363" s="78"/>
      <c r="K363" s="78"/>
      <c r="L363" s="28"/>
      <c r="M363" s="78"/>
      <c r="N363" s="78"/>
      <c r="P363" s="33" t="s">
        <v>1262</v>
      </c>
      <c r="Q363" s="177">
        <f>GIS!Z145*GIS!$E37</f>
        <v>6416308.7300346391</v>
      </c>
    </row>
    <row r="364" spans="1:17" ht="14.5">
      <c r="A364" s="221" t="s">
        <v>1402</v>
      </c>
      <c r="B364" s="222">
        <f>H367</f>
        <v>0</v>
      </c>
      <c r="D364" s="81" t="s">
        <v>2534</v>
      </c>
      <c r="E364" s="94" t="s">
        <v>46</v>
      </c>
      <c r="F364" s="95">
        <f>Q365+Q376</f>
        <v>0</v>
      </c>
      <c r="G364" s="28"/>
      <c r="H364" s="80">
        <f>F364*'GWPs &amp; Fuel EFs'!$N$7</f>
        <v>0</v>
      </c>
      <c r="I364" s="28"/>
      <c r="J364" s="80">
        <f>F364*'GWPs &amp; Fuel EFs'!$M$35</f>
        <v>0</v>
      </c>
      <c r="K364" s="80">
        <f>J364*'GWPs &amp; Fuel EFs'!$D$11</f>
        <v>0</v>
      </c>
      <c r="L364" s="28"/>
      <c r="M364" s="80">
        <f>F364*'GWPs &amp; Fuel EFs'!$M$63</f>
        <v>0</v>
      </c>
      <c r="N364" s="80">
        <f>M364*'GWPs &amp; Fuel EFs'!$E$11</f>
        <v>0</v>
      </c>
      <c r="P364" s="33" t="s">
        <v>1263</v>
      </c>
      <c r="Q364" s="177">
        <f>GIS!Z146*GIS!$E38</f>
        <v>0</v>
      </c>
    </row>
    <row r="365" spans="1:17" ht="14.5">
      <c r="A365" s="221" t="s">
        <v>216</v>
      </c>
      <c r="B365" s="222">
        <f>K367</f>
        <v>0</v>
      </c>
      <c r="D365" s="81" t="s">
        <v>380</v>
      </c>
      <c r="E365" s="94" t="s">
        <v>39</v>
      </c>
      <c r="F365" s="95">
        <f>Q374</f>
        <v>0</v>
      </c>
      <c r="G365" s="28"/>
      <c r="H365" s="80">
        <f>F365*'GWPs &amp; Fuel EFs'!$N$8</f>
        <v>0</v>
      </c>
      <c r="I365" s="28"/>
      <c r="J365" s="80">
        <f>F365*'GWPs &amp; Fuel EFs'!$M$36</f>
        <v>0</v>
      </c>
      <c r="K365" s="80">
        <f>J365*'GWPs &amp; Fuel EFs'!$D$11</f>
        <v>0</v>
      </c>
      <c r="L365" s="28"/>
      <c r="M365" s="80">
        <f>F365*'GWPs &amp; Fuel EFs'!$M$64</f>
        <v>0</v>
      </c>
      <c r="N365" s="80">
        <f>M365*'GWPs &amp; Fuel EFs'!$E$11</f>
        <v>0</v>
      </c>
      <c r="P365" s="33" t="s">
        <v>1264</v>
      </c>
      <c r="Q365" s="177">
        <f>GIS!Z147*GIS!$E39</f>
        <v>0</v>
      </c>
    </row>
    <row r="366" spans="1:17" ht="14.5">
      <c r="A366" s="221" t="s">
        <v>217</v>
      </c>
      <c r="B366" s="222">
        <f>N367</f>
        <v>0</v>
      </c>
      <c r="D366" s="81" t="s">
        <v>394</v>
      </c>
      <c r="E366" s="94" t="s">
        <v>17</v>
      </c>
      <c r="F366" s="95">
        <f>(Q373+Q378)*'GIS Heat Input'!F54</f>
        <v>0</v>
      </c>
      <c r="G366" s="28"/>
      <c r="H366" s="80">
        <f>F366*'GWPs &amp; Fuel EFs'!$N$9</f>
        <v>0</v>
      </c>
      <c r="I366" s="28"/>
      <c r="J366" s="80">
        <f>F366*'GWPs &amp; Fuel EFs'!$M$37</f>
        <v>0</v>
      </c>
      <c r="K366" s="80">
        <f>J366*'GWPs &amp; Fuel EFs'!$D$11</f>
        <v>0</v>
      </c>
      <c r="L366" s="28"/>
      <c r="M366" s="80">
        <f>F366*'GWPs &amp; Fuel EFs'!$M$65</f>
        <v>0</v>
      </c>
      <c r="N366" s="80">
        <f>M366*'GWPs &amp; Fuel EFs'!$E$11</f>
        <v>0</v>
      </c>
      <c r="P366" s="33" t="s">
        <v>1265</v>
      </c>
      <c r="Q366" s="177">
        <f>GIS!Z148*GIS!$E40</f>
        <v>0</v>
      </c>
    </row>
    <row r="367" spans="1:17" ht="14.5">
      <c r="A367" s="221" t="s">
        <v>218</v>
      </c>
      <c r="B367" s="222">
        <f>K375</f>
        <v>2583011.9658747721</v>
      </c>
      <c r="D367" s="81"/>
      <c r="E367" s="82"/>
      <c r="F367" s="80"/>
      <c r="G367" s="28"/>
      <c r="H367" s="83">
        <f>SUM(H364:H366)</f>
        <v>0</v>
      </c>
      <c r="I367" s="28"/>
      <c r="J367" s="80"/>
      <c r="K367" s="83">
        <f>SUM(K364:K366)</f>
        <v>0</v>
      </c>
      <c r="L367" s="28"/>
      <c r="M367" s="80"/>
      <c r="N367" s="83">
        <f>SUM(N364:N366)</f>
        <v>0</v>
      </c>
      <c r="P367" s="33" t="s">
        <v>1266</v>
      </c>
      <c r="Q367" s="177">
        <f>GIS!Z149*GIS!$E41</f>
        <v>0</v>
      </c>
    </row>
    <row r="368" spans="1:17" ht="14.5">
      <c r="A368" s="221" t="s">
        <v>219</v>
      </c>
      <c r="B368" s="222">
        <f>N375</f>
        <v>15340680.741477547</v>
      </c>
      <c r="E368" s="28"/>
      <c r="O368" s="12"/>
      <c r="P368" s="33" t="s">
        <v>1267</v>
      </c>
      <c r="Q368" s="177">
        <f>GIS!Z150*GIS!$E42</f>
        <v>0</v>
      </c>
    </row>
    <row r="369" spans="1:17" ht="14.5">
      <c r="A369" s="221"/>
      <c r="B369" s="221"/>
      <c r="P369" s="37" t="s">
        <v>1268</v>
      </c>
      <c r="Q369" s="177">
        <f>GIS!Z151*GIS!$E43</f>
        <v>0</v>
      </c>
    </row>
    <row r="370" spans="1:17" ht="14.5">
      <c r="A370" s="223" t="s">
        <v>220</v>
      </c>
      <c r="B370" s="220">
        <f>H375</f>
        <v>1347978090.6956985</v>
      </c>
      <c r="D370" s="66" t="s">
        <v>221</v>
      </c>
      <c r="E370" s="28"/>
      <c r="F370" s="80"/>
      <c r="G370" s="28"/>
      <c r="H370" s="83"/>
      <c r="I370" s="28"/>
      <c r="J370" s="80"/>
      <c r="K370" s="83"/>
      <c r="L370" s="28"/>
      <c r="M370" s="80"/>
      <c r="N370" s="83"/>
      <c r="P370" s="37" t="s">
        <v>1269</v>
      </c>
      <c r="Q370" s="177">
        <f>GIS!Z152*GIS!$E44</f>
        <v>0</v>
      </c>
    </row>
    <row r="371" spans="1:17" ht="14.5">
      <c r="A371" s="221"/>
      <c r="B371" s="224"/>
      <c r="D371" s="81" t="s">
        <v>388</v>
      </c>
      <c r="E371" s="94" t="s">
        <v>63</v>
      </c>
      <c r="F371" s="95">
        <f>Q372</f>
        <v>84847.437707781603</v>
      </c>
      <c r="G371" s="28"/>
      <c r="H371" s="80">
        <f>F371*'GWPs &amp; Fuel EFs'!$N$20</f>
        <v>9740036.1424494181</v>
      </c>
      <c r="I371" s="28"/>
      <c r="J371" s="80">
        <f>F371*'GWPs &amp; Fuel EFs'!$M$48</f>
        <v>598.58105734277206</v>
      </c>
      <c r="K371" s="80">
        <f>J371*'GWPs &amp; Fuel EFs'!$D$11</f>
        <v>14964.526433569301</v>
      </c>
      <c r="L371" s="28"/>
      <c r="M371" s="80">
        <f>F371*'GWPs &amp; Fuel EFs'!$M$76</f>
        <v>117.84564566435824</v>
      </c>
      <c r="N371" s="80">
        <f>M371*'GWPs &amp; Fuel EFs'!$E$11</f>
        <v>35118.002407978754</v>
      </c>
      <c r="P371" s="33" t="s">
        <v>1270</v>
      </c>
      <c r="Q371" s="177">
        <f>GIS!Z153*GIS!$E45</f>
        <v>0</v>
      </c>
    </row>
    <row r="372" spans="1:17" ht="14.5">
      <c r="A372" s="221"/>
      <c r="B372" s="221"/>
      <c r="D372" s="81" t="s">
        <v>391</v>
      </c>
      <c r="E372" s="94" t="s">
        <v>16</v>
      </c>
      <c r="F372" s="95">
        <f>(Q373+Q378)*'GIS Heat Input'!F57</f>
        <v>0</v>
      </c>
      <c r="G372" s="28"/>
      <c r="H372" s="80">
        <f>F372*'GWPs &amp; Fuel EFs'!$N$21</f>
        <v>0</v>
      </c>
      <c r="I372" s="28"/>
      <c r="J372" s="80">
        <f>F372*'GWPs &amp; Fuel EFs'!$M$49</f>
        <v>0</v>
      </c>
      <c r="K372" s="80">
        <f>J372*'GWPs &amp; Fuel EFs'!$D$11</f>
        <v>0</v>
      </c>
      <c r="L372" s="28"/>
      <c r="M372" s="80">
        <f>F372*'GWPs &amp; Fuel EFs'!$M$77</f>
        <v>0</v>
      </c>
      <c r="N372" s="80">
        <f>M372*'GWPs &amp; Fuel EFs'!$E$11</f>
        <v>0</v>
      </c>
      <c r="P372" s="33" t="s">
        <v>1271</v>
      </c>
      <c r="Q372" s="177">
        <f>GIS!Z154*GIS!$E46</f>
        <v>84847.437707781603</v>
      </c>
    </row>
    <row r="373" spans="1:17" ht="14.5">
      <c r="A373" s="221"/>
      <c r="B373" s="221"/>
      <c r="D373" s="81" t="s">
        <v>396</v>
      </c>
      <c r="E373" s="94" t="s">
        <v>69</v>
      </c>
      <c r="F373" s="95">
        <f>Q363+Q380</f>
        <v>6471370.6961410902</v>
      </c>
      <c r="G373" s="86"/>
      <c r="H373" s="80">
        <f>F373*'GWPs &amp; Fuel EFs'!$N$23</f>
        <v>1338238054.5532491</v>
      </c>
      <c r="I373" s="28"/>
      <c r="J373" s="80">
        <f>F373*'GWPs &amp; Fuel EFs'!$M$51</f>
        <v>102721.89757764811</v>
      </c>
      <c r="K373" s="80">
        <f>J373*'GWPs &amp; Fuel EFs'!$D$11</f>
        <v>2568047.4394412027</v>
      </c>
      <c r="L373" s="28"/>
      <c r="M373" s="80">
        <f>F373*'GWPs &amp; Fuel EFs'!$M$79</f>
        <v>51360.948788824055</v>
      </c>
      <c r="N373" s="80">
        <f>M373*'GWPs &amp; Fuel EFs'!$E$11</f>
        <v>15305562.739069568</v>
      </c>
      <c r="P373" s="33" t="s">
        <v>1272</v>
      </c>
      <c r="Q373" s="177">
        <f>GIS!Z155*GIS!$E47</f>
        <v>0</v>
      </c>
    </row>
    <row r="374" spans="1:17" ht="14.5">
      <c r="A374" s="223"/>
      <c r="B374" s="220"/>
      <c r="D374" s="81" t="s">
        <v>2287</v>
      </c>
      <c r="E374" s="94" t="s">
        <v>68</v>
      </c>
      <c r="F374" s="95">
        <f>Q362+Q366</f>
        <v>0</v>
      </c>
      <c r="G374" s="28"/>
      <c r="H374" s="80">
        <f>F374*'GWPs &amp; Fuel EFs'!$N$27</f>
        <v>0</v>
      </c>
      <c r="I374" s="28"/>
      <c r="J374" s="80">
        <f>F374*'GWPs &amp; Fuel EFs'!$M$55</f>
        <v>0</v>
      </c>
      <c r="K374" s="80">
        <f>J374*'GWPs &amp; Fuel EFs'!$D$11</f>
        <v>0</v>
      </c>
      <c r="L374" s="28"/>
      <c r="M374" s="80">
        <f>F374*'GWPs &amp; Fuel EFs'!$M$83</f>
        <v>0</v>
      </c>
      <c r="N374" s="80">
        <f>M374*'GWPs &amp; Fuel EFs'!$E$11</f>
        <v>0</v>
      </c>
      <c r="P374" s="33" t="s">
        <v>1273</v>
      </c>
      <c r="Q374" s="177">
        <f>GIS!Z156*GIS!$E48</f>
        <v>0</v>
      </c>
    </row>
    <row r="375" spans="1:17" ht="14.5">
      <c r="A375" s="221"/>
      <c r="B375" s="226"/>
      <c r="D375" s="81"/>
      <c r="F375" s="80"/>
      <c r="G375" s="28"/>
      <c r="H375" s="83">
        <f>SUM(H371:H373)</f>
        <v>1347978090.6956985</v>
      </c>
      <c r="I375" s="28"/>
      <c r="J375" s="80"/>
      <c r="K375" s="83">
        <f>SUM(K371:K373)</f>
        <v>2583011.9658747721</v>
      </c>
      <c r="L375" s="28"/>
      <c r="M375" s="80"/>
      <c r="N375" s="83">
        <f>SUM(N371:N373)</f>
        <v>15340680.741477547</v>
      </c>
      <c r="P375" s="33" t="s">
        <v>1274</v>
      </c>
      <c r="Q375" s="177">
        <f>GIS!Z157*GIS!$E49</f>
        <v>0</v>
      </c>
    </row>
    <row r="376" spans="1:17" ht="14.5">
      <c r="A376" s="221"/>
      <c r="B376" s="221"/>
      <c r="F376" s="80"/>
      <c r="P376" s="33" t="s">
        <v>1275</v>
      </c>
      <c r="Q376" s="177">
        <f>GIS!Z158*GIS!$E50</f>
        <v>0</v>
      </c>
    </row>
    <row r="377" spans="1:17" ht="14.5">
      <c r="A377" s="221"/>
      <c r="B377" s="221"/>
      <c r="P377" s="43" t="s">
        <v>1276</v>
      </c>
      <c r="Q377" s="177">
        <f>GIS!Z159*GIS!$E51</f>
        <v>0</v>
      </c>
    </row>
    <row r="378" spans="1:17" ht="14.5">
      <c r="A378" s="221"/>
      <c r="B378" s="221"/>
      <c r="P378" s="33" t="s">
        <v>1277</v>
      </c>
      <c r="Q378" s="177">
        <f>GIS!Z160*GIS!$E52</f>
        <v>0</v>
      </c>
    </row>
    <row r="379" spans="1:17" ht="14.5">
      <c r="A379" s="221"/>
      <c r="B379" s="221"/>
      <c r="P379" s="33" t="s">
        <v>1278</v>
      </c>
      <c r="Q379" s="177">
        <f>GIS!Z161*GIS!$E53</f>
        <v>0</v>
      </c>
    </row>
    <row r="380" spans="1:17" ht="14.5">
      <c r="A380" s="221"/>
      <c r="B380" s="221"/>
      <c r="P380" s="33" t="s">
        <v>1279</v>
      </c>
      <c r="Q380" s="177">
        <f>GIS!Z162*GIS!$E54</f>
        <v>55061.966106450818</v>
      </c>
    </row>
    <row r="382" spans="1:17">
      <c r="A382" s="174"/>
      <c r="B382" s="174"/>
      <c r="C382" s="174"/>
      <c r="D382" s="174"/>
      <c r="E382" s="174"/>
      <c r="F382" s="174"/>
      <c r="G382" s="174"/>
      <c r="H382" s="174"/>
      <c r="I382" s="174"/>
      <c r="J382" s="174"/>
      <c r="K382" s="174"/>
      <c r="L382" s="174"/>
      <c r="M382" s="174"/>
      <c r="N382" s="174"/>
      <c r="O382" s="174"/>
      <c r="P382" s="174"/>
      <c r="Q382" s="174"/>
    </row>
    <row r="383" spans="1:17" ht="13">
      <c r="P383" s="178" t="s">
        <v>2565</v>
      </c>
    </row>
    <row r="384" spans="1:17" ht="13">
      <c r="A384" s="215" t="s">
        <v>2551</v>
      </c>
      <c r="B384" s="215"/>
      <c r="D384" s="77" t="s">
        <v>225</v>
      </c>
      <c r="E384" s="77"/>
      <c r="F384" s="77"/>
      <c r="G384" s="28"/>
      <c r="H384" s="77" t="s">
        <v>225</v>
      </c>
      <c r="I384" s="28"/>
      <c r="J384" s="77" t="s">
        <v>225</v>
      </c>
      <c r="K384" s="77"/>
      <c r="L384" s="28"/>
      <c r="M384" s="77" t="s">
        <v>225</v>
      </c>
      <c r="N384" s="77"/>
      <c r="P384" s="803" t="s">
        <v>2550</v>
      </c>
      <c r="Q384" s="804" t="s">
        <v>1357</v>
      </c>
    </row>
    <row r="385" spans="1:17" ht="13">
      <c r="A385" s="216">
        <f>A289</f>
        <v>2021</v>
      </c>
      <c r="B385" s="216"/>
      <c r="D385" s="77" t="s">
        <v>207</v>
      </c>
      <c r="E385" s="77"/>
      <c r="F385" s="77"/>
      <c r="G385" s="28"/>
      <c r="H385" s="77" t="s">
        <v>208</v>
      </c>
      <c r="I385" s="28"/>
      <c r="J385" s="77" t="s">
        <v>209</v>
      </c>
      <c r="K385" s="77"/>
      <c r="L385" s="28"/>
      <c r="M385" s="77" t="s">
        <v>210</v>
      </c>
      <c r="N385" s="77"/>
      <c r="P385" s="803"/>
      <c r="Q385" s="804" t="s">
        <v>1294</v>
      </c>
    </row>
    <row r="386" spans="1:17" ht="35.5">
      <c r="A386" s="217"/>
      <c r="B386" s="218" t="s">
        <v>333</v>
      </c>
      <c r="C386" s="12"/>
      <c r="D386" s="79" t="s">
        <v>211</v>
      </c>
      <c r="E386" s="79" t="s">
        <v>212</v>
      </c>
      <c r="F386" s="79" t="str">
        <f>F314</f>
        <v>Heat Input from GIS certificates (MMBtu)</v>
      </c>
      <c r="G386" s="28"/>
      <c r="H386" s="66" t="s">
        <v>331</v>
      </c>
      <c r="I386" s="78"/>
      <c r="J386" s="66" t="s">
        <v>332</v>
      </c>
      <c r="K386" s="66" t="s">
        <v>333</v>
      </c>
      <c r="L386" s="78"/>
      <c r="M386" s="66" t="s">
        <v>334</v>
      </c>
      <c r="N386" s="66" t="s">
        <v>333</v>
      </c>
      <c r="P386" s="98" t="s">
        <v>2285</v>
      </c>
      <c r="Q386" s="177">
        <f>GIS!AC169*GIS!$F36</f>
        <v>30981.574851033674</v>
      </c>
    </row>
    <row r="387" spans="1:17" ht="14.5">
      <c r="A387" s="219" t="s">
        <v>214</v>
      </c>
      <c r="B387" s="220">
        <f>SUM(B388:B392)</f>
        <v>1024679.434029886</v>
      </c>
      <c r="D387" s="66" t="s">
        <v>215</v>
      </c>
      <c r="E387" s="66"/>
      <c r="F387" s="66"/>
      <c r="G387" s="28"/>
      <c r="H387" s="28"/>
      <c r="I387" s="28"/>
      <c r="J387" s="78"/>
      <c r="K387" s="78"/>
      <c r="L387" s="28"/>
      <c r="M387" s="78"/>
      <c r="N387" s="78"/>
      <c r="P387" s="33" t="s">
        <v>1262</v>
      </c>
      <c r="Q387" s="177">
        <f>GIS!AC170*GIS!$F37</f>
        <v>0</v>
      </c>
    </row>
    <row r="388" spans="1:17" ht="14.5">
      <c r="A388" s="221" t="s">
        <v>1401</v>
      </c>
      <c r="B388" s="222">
        <f>H391</f>
        <v>0</v>
      </c>
      <c r="D388" s="81" t="s">
        <v>2534</v>
      </c>
      <c r="E388" s="94" t="s">
        <v>46</v>
      </c>
      <c r="F388" s="95">
        <f>Q389+Q400</f>
        <v>0</v>
      </c>
      <c r="G388" s="28"/>
      <c r="H388" s="80">
        <f>F388*'GWPs &amp; Fuel EFs'!$N$7</f>
        <v>0</v>
      </c>
      <c r="I388" s="28"/>
      <c r="J388" s="80">
        <f>F388*'GWPs &amp; Fuel EFs'!$M$35</f>
        <v>0</v>
      </c>
      <c r="K388" s="80">
        <f>J388*'GWPs &amp; Fuel EFs'!$D$11</f>
        <v>0</v>
      </c>
      <c r="L388" s="28"/>
      <c r="M388" s="80">
        <f>F388*'GWPs &amp; Fuel EFs'!$M$63</f>
        <v>0</v>
      </c>
      <c r="N388" s="80">
        <f>M388*'GWPs &amp; Fuel EFs'!$E$11</f>
        <v>0</v>
      </c>
      <c r="O388" s="12"/>
      <c r="P388" s="33" t="s">
        <v>1263</v>
      </c>
      <c r="Q388" s="177">
        <f>GIS!AC171*GIS!$F38</f>
        <v>0</v>
      </c>
    </row>
    <row r="389" spans="1:17" ht="14.5">
      <c r="A389" s="221" t="s">
        <v>216</v>
      </c>
      <c r="B389" s="222">
        <f>K391</f>
        <v>0</v>
      </c>
      <c r="D389" s="81" t="s">
        <v>380</v>
      </c>
      <c r="E389" s="94" t="s">
        <v>39</v>
      </c>
      <c r="F389" s="95">
        <f>Q398</f>
        <v>0</v>
      </c>
      <c r="G389" s="28"/>
      <c r="H389" s="80">
        <f>F389*'GWPs &amp; Fuel EFs'!$N$8</f>
        <v>0</v>
      </c>
      <c r="I389" s="28"/>
      <c r="J389" s="80">
        <f>F389*'GWPs &amp; Fuel EFs'!$M$36</f>
        <v>0</v>
      </c>
      <c r="K389" s="80">
        <f>J389*'GWPs &amp; Fuel EFs'!$D$11</f>
        <v>0</v>
      </c>
      <c r="L389" s="28"/>
      <c r="M389" s="80">
        <f>F389*'GWPs &amp; Fuel EFs'!$M$64</f>
        <v>0</v>
      </c>
      <c r="N389" s="80">
        <f>M389*'GWPs &amp; Fuel EFs'!$E$11</f>
        <v>0</v>
      </c>
      <c r="P389" s="33" t="s">
        <v>1264</v>
      </c>
      <c r="Q389" s="177">
        <f>GIS!AC172*GIS!$F39</f>
        <v>0</v>
      </c>
    </row>
    <row r="390" spans="1:17" ht="14.5">
      <c r="A390" s="221" t="s">
        <v>217</v>
      </c>
      <c r="B390" s="222">
        <f>N391</f>
        <v>0</v>
      </c>
      <c r="D390" s="81" t="s">
        <v>394</v>
      </c>
      <c r="E390" s="94" t="s">
        <v>17</v>
      </c>
      <c r="F390" s="95">
        <f>(Q397+Q402)*'GIS Heat Input'!F66</f>
        <v>0</v>
      </c>
      <c r="G390" s="28"/>
      <c r="H390" s="80">
        <f>F390*'GWPs &amp; Fuel EFs'!$N$9</f>
        <v>0</v>
      </c>
      <c r="I390" s="28"/>
      <c r="J390" s="80">
        <f>F390*'GWPs &amp; Fuel EFs'!$M$37</f>
        <v>0</v>
      </c>
      <c r="K390" s="80">
        <f>J390*'GWPs &amp; Fuel EFs'!$D$11</f>
        <v>0</v>
      </c>
      <c r="L390" s="28"/>
      <c r="M390" s="80">
        <f>F390*'GWPs &amp; Fuel EFs'!$M$65</f>
        <v>0</v>
      </c>
      <c r="N390" s="80">
        <f>M390*'GWPs &amp; Fuel EFs'!$E$11</f>
        <v>0</v>
      </c>
      <c r="P390" s="33" t="s">
        <v>1265</v>
      </c>
      <c r="Q390" s="177">
        <f>GIS!AC173*GIS!$F40</f>
        <v>0</v>
      </c>
    </row>
    <row r="391" spans="1:17" ht="14.5">
      <c r="A391" s="221" t="s">
        <v>218</v>
      </c>
      <c r="B391" s="222">
        <f>K399</f>
        <v>306171.48996186926</v>
      </c>
      <c r="D391" s="81"/>
      <c r="E391" s="82"/>
      <c r="F391" s="80"/>
      <c r="G391" s="28"/>
      <c r="H391" s="83">
        <f>SUM(H388:H390)</f>
        <v>0</v>
      </c>
      <c r="I391" s="28"/>
      <c r="J391" s="80"/>
      <c r="K391" s="83">
        <f>SUM(K388:K390)</f>
        <v>0</v>
      </c>
      <c r="L391" s="28"/>
      <c r="M391" s="80"/>
      <c r="N391" s="83">
        <f>SUM(N388:N390)</f>
        <v>0</v>
      </c>
      <c r="P391" s="33" t="s">
        <v>1266</v>
      </c>
      <c r="Q391" s="177">
        <f>GIS!AC174*GIS!$F41</f>
        <v>0</v>
      </c>
    </row>
    <row r="392" spans="1:17" ht="14.5">
      <c r="A392" s="221" t="s">
        <v>219</v>
      </c>
      <c r="B392" s="222">
        <f>N399</f>
        <v>718507.94406801672</v>
      </c>
      <c r="E392" s="28"/>
      <c r="P392" s="33" t="s">
        <v>1267</v>
      </c>
      <c r="Q392" s="177">
        <f>GIS!AC175*GIS!$F42</f>
        <v>0</v>
      </c>
    </row>
    <row r="393" spans="1:17" ht="14.5">
      <c r="A393" s="221"/>
      <c r="B393" s="221"/>
      <c r="P393" s="37" t="s">
        <v>1268</v>
      </c>
      <c r="Q393" s="177">
        <f>GIS!AC176*GIS!$F43</f>
        <v>0</v>
      </c>
    </row>
    <row r="394" spans="1:17" ht="14.5">
      <c r="A394" s="223" t="s">
        <v>220</v>
      </c>
      <c r="B394" s="220">
        <f>H399</f>
        <v>199279368.52893165</v>
      </c>
      <c r="D394" s="66" t="s">
        <v>221</v>
      </c>
      <c r="E394" s="28"/>
      <c r="F394" s="80"/>
      <c r="G394" s="28"/>
      <c r="H394" s="83"/>
      <c r="I394" s="28"/>
      <c r="J394" s="80"/>
      <c r="K394" s="83"/>
      <c r="L394" s="28"/>
      <c r="M394" s="80"/>
      <c r="N394" s="83"/>
      <c r="P394" s="37" t="s">
        <v>1269</v>
      </c>
      <c r="Q394" s="177">
        <f>GIS!AC177*GIS!$F44</f>
        <v>0</v>
      </c>
    </row>
    <row r="395" spans="1:17" ht="14.5">
      <c r="A395" s="221"/>
      <c r="B395" s="224"/>
      <c r="D395" s="81" t="s">
        <v>388</v>
      </c>
      <c r="E395" s="94" t="s">
        <v>63</v>
      </c>
      <c r="F395" s="95">
        <f>Q396</f>
        <v>1704981.5735826723</v>
      </c>
      <c r="G395" s="28"/>
      <c r="H395" s="80">
        <f>F395*'GWPs &amp; Fuel EFs'!$N$20</f>
        <v>195722847.94385102</v>
      </c>
      <c r="I395" s="28"/>
      <c r="J395" s="80">
        <f>F395*'GWPs &amp; Fuel EFs'!$M$48</f>
        <v>12028.291020171371</v>
      </c>
      <c r="K395" s="80">
        <f>J395*'GWPs &amp; Fuel EFs'!$D$11</f>
        <v>300707.27550428431</v>
      </c>
      <c r="L395" s="28"/>
      <c r="M395" s="80">
        <f>F395*'GWPs &amp; Fuel EFs'!$M$76</f>
        <v>2368.0697945962388</v>
      </c>
      <c r="N395" s="80">
        <f>M395*'GWPs &amp; Fuel EFs'!$E$11</f>
        <v>705684.79878967919</v>
      </c>
      <c r="P395" s="33" t="s">
        <v>1270</v>
      </c>
      <c r="Q395" s="177">
        <f>GIS!AC178*GIS!$F45</f>
        <v>0</v>
      </c>
    </row>
    <row r="396" spans="1:17" ht="14.5">
      <c r="A396" s="221"/>
      <c r="B396" s="221"/>
      <c r="D396" s="81" t="s">
        <v>391</v>
      </c>
      <c r="E396" s="94" t="s">
        <v>16</v>
      </c>
      <c r="F396" s="95">
        <f>(Q397+Q402)*'GIS Heat Input'!F69</f>
        <v>0</v>
      </c>
      <c r="G396" s="28"/>
      <c r="H396" s="80">
        <f>F396*'GWPs &amp; Fuel EFs'!$N$21</f>
        <v>0</v>
      </c>
      <c r="I396" s="28"/>
      <c r="J396" s="80">
        <f>F396*'GWPs &amp; Fuel EFs'!$M$49</f>
        <v>0</v>
      </c>
      <c r="K396" s="80">
        <f>J396*'GWPs &amp; Fuel EFs'!$D$11</f>
        <v>0</v>
      </c>
      <c r="L396" s="28"/>
      <c r="M396" s="80">
        <f>F396*'GWPs &amp; Fuel EFs'!$M$77</f>
        <v>0</v>
      </c>
      <c r="N396" s="80">
        <f>M396*'GWPs &amp; Fuel EFs'!$E$11</f>
        <v>0</v>
      </c>
      <c r="P396" s="33" t="s">
        <v>1271</v>
      </c>
      <c r="Q396" s="177">
        <f>GIS!AC179*GIS!$F46</f>
        <v>1704981.5735826723</v>
      </c>
    </row>
    <row r="397" spans="1:17" ht="14.5">
      <c r="A397" s="221"/>
      <c r="B397" s="221"/>
      <c r="D397" s="81" t="s">
        <v>396</v>
      </c>
      <c r="E397" s="94" t="s">
        <v>69</v>
      </c>
      <c r="F397" s="95">
        <f>Q387+Q404</f>
        <v>0</v>
      </c>
      <c r="G397" s="28"/>
      <c r="H397" s="80">
        <f>F397*'GWPs &amp; Fuel EFs'!$N$23</f>
        <v>0</v>
      </c>
      <c r="I397" s="28"/>
      <c r="J397" s="80">
        <f>F397*'GWPs &amp; Fuel EFs'!$M$51</f>
        <v>0</v>
      </c>
      <c r="K397" s="80">
        <f>J397*'GWPs &amp; Fuel EFs'!$D$11</f>
        <v>0</v>
      </c>
      <c r="L397" s="28"/>
      <c r="M397" s="80">
        <f>F397*'GWPs &amp; Fuel EFs'!$M$79</f>
        <v>0</v>
      </c>
      <c r="N397" s="80">
        <f>M397*'GWPs &amp; Fuel EFs'!$E$11</f>
        <v>0</v>
      </c>
      <c r="P397" s="33" t="s">
        <v>1272</v>
      </c>
      <c r="Q397" s="177">
        <f>GIS!AC180*GIS!$F47</f>
        <v>0</v>
      </c>
    </row>
    <row r="398" spans="1:17" ht="14.5">
      <c r="A398" s="221"/>
      <c r="B398" s="221"/>
      <c r="D398" s="81" t="s">
        <v>2287</v>
      </c>
      <c r="E398" s="94" t="s">
        <v>68</v>
      </c>
      <c r="F398" s="95">
        <f>Q386+Q390</f>
        <v>30981.574851033674</v>
      </c>
      <c r="G398" s="28"/>
      <c r="H398" s="80">
        <f>F398*'GWPs &amp; Fuel EFs'!$N$27</f>
        <v>3556520.5850806092</v>
      </c>
      <c r="I398" s="28"/>
      <c r="J398" s="80">
        <f>F398*'GWPs &amp; Fuel EFs'!$M$55</f>
        <v>218.56857830339831</v>
      </c>
      <c r="K398" s="80">
        <f>J398*'GWPs &amp; Fuel EFs'!$D$11</f>
        <v>5464.2144575849579</v>
      </c>
      <c r="L398" s="28"/>
      <c r="M398" s="80">
        <f>F398*'GWPs &amp; Fuel EFs'!$M$83</f>
        <v>43.030688853481536</v>
      </c>
      <c r="N398" s="80">
        <f>M398*'GWPs &amp; Fuel EFs'!$E$11</f>
        <v>12823.145278337497</v>
      </c>
      <c r="P398" s="33" t="s">
        <v>1273</v>
      </c>
      <c r="Q398" s="177">
        <f>GIS!AC181*GIS!$F48</f>
        <v>0</v>
      </c>
    </row>
    <row r="399" spans="1:17" ht="14.5">
      <c r="A399" s="221"/>
      <c r="B399" s="224"/>
      <c r="D399" s="28"/>
      <c r="E399" s="28"/>
      <c r="F399" s="80"/>
      <c r="G399" s="28"/>
      <c r="H399" s="83">
        <f>SUM(H395:H398)</f>
        <v>199279368.52893165</v>
      </c>
      <c r="I399" s="28"/>
      <c r="J399" s="28"/>
      <c r="K399" s="83">
        <f>SUM(K395:K398)</f>
        <v>306171.48996186926</v>
      </c>
      <c r="L399" s="28"/>
      <c r="M399" s="28"/>
      <c r="N399" s="83">
        <f>SUM(N395:N398)</f>
        <v>718507.94406801672</v>
      </c>
      <c r="P399" s="33" t="s">
        <v>1274</v>
      </c>
      <c r="Q399" s="177">
        <f>GIS!AC182*GIS!$F49</f>
        <v>0</v>
      </c>
    </row>
    <row r="400" spans="1:17" ht="14.5">
      <c r="A400" s="221"/>
      <c r="B400" s="221"/>
      <c r="P400" s="33" t="s">
        <v>1275</v>
      </c>
      <c r="Q400" s="177">
        <f>GIS!AC183*GIS!$F50</f>
        <v>0</v>
      </c>
    </row>
    <row r="401" spans="1:17" ht="14.5">
      <c r="A401" s="221"/>
      <c r="B401" s="221"/>
      <c r="P401" s="43" t="s">
        <v>1276</v>
      </c>
      <c r="Q401" s="177">
        <f>GIS!AC184*GIS!$F51</f>
        <v>0</v>
      </c>
    </row>
    <row r="402" spans="1:17" ht="14.5">
      <c r="A402" s="221"/>
      <c r="B402" s="221"/>
      <c r="P402" s="33" t="s">
        <v>1277</v>
      </c>
      <c r="Q402" s="177">
        <f>GIS!AC185*GIS!$F52</f>
        <v>0</v>
      </c>
    </row>
    <row r="403" spans="1:17" ht="14.5">
      <c r="A403" s="221"/>
      <c r="B403" s="221"/>
      <c r="D403" s="28"/>
      <c r="E403" s="28"/>
      <c r="F403" s="28"/>
      <c r="G403" s="28"/>
      <c r="H403" s="28"/>
      <c r="I403" s="28"/>
      <c r="J403" s="28"/>
      <c r="K403" s="28"/>
      <c r="L403" s="28"/>
      <c r="M403" s="28"/>
      <c r="N403" s="28"/>
      <c r="P403" s="33" t="s">
        <v>1278</v>
      </c>
      <c r="Q403" s="177">
        <f>GIS!AC186*GIS!$F53</f>
        <v>0</v>
      </c>
    </row>
    <row r="404" spans="1:17" ht="14.5">
      <c r="A404" s="221"/>
      <c r="B404" s="221"/>
      <c r="P404" s="33" t="s">
        <v>1279</v>
      </c>
      <c r="Q404" s="177">
        <f>GIS!AC187*GIS!$F54</f>
        <v>0</v>
      </c>
    </row>
    <row r="406" spans="1:17">
      <c r="A406" s="174"/>
      <c r="B406" s="174"/>
      <c r="C406" s="174"/>
      <c r="D406" s="174"/>
      <c r="E406" s="174"/>
      <c r="F406" s="174"/>
      <c r="G406" s="174"/>
      <c r="H406" s="174"/>
      <c r="I406" s="174"/>
      <c r="J406" s="174"/>
      <c r="K406" s="174"/>
      <c r="L406" s="174"/>
      <c r="M406" s="174"/>
      <c r="N406" s="174"/>
      <c r="O406" s="174"/>
      <c r="P406" s="174"/>
      <c r="Q406" s="174"/>
    </row>
    <row r="407" spans="1:17" ht="13">
      <c r="P407" s="178" t="s">
        <v>2570</v>
      </c>
    </row>
    <row r="408" spans="1:17" ht="13">
      <c r="A408" s="215" t="s">
        <v>2552</v>
      </c>
      <c r="B408" s="215"/>
      <c r="D408" s="77" t="s">
        <v>224</v>
      </c>
      <c r="E408" s="77"/>
      <c r="F408" s="77"/>
      <c r="G408" s="28"/>
      <c r="H408" s="77" t="s">
        <v>224</v>
      </c>
      <c r="I408" s="28"/>
      <c r="J408" s="77" t="s">
        <v>224</v>
      </c>
      <c r="K408" s="77"/>
      <c r="L408" s="28"/>
      <c r="M408" s="77" t="s">
        <v>224</v>
      </c>
      <c r="N408" s="77"/>
      <c r="P408" s="803" t="s">
        <v>2550</v>
      </c>
      <c r="Q408" s="804" t="s">
        <v>1369</v>
      </c>
    </row>
    <row r="409" spans="1:17" ht="13">
      <c r="A409" s="216">
        <f>A313</f>
        <v>2021</v>
      </c>
      <c r="B409" s="216"/>
      <c r="D409" s="77" t="s">
        <v>207</v>
      </c>
      <c r="E409" s="77"/>
      <c r="F409" s="77"/>
      <c r="G409" s="28"/>
      <c r="H409" s="77" t="s">
        <v>208</v>
      </c>
      <c r="I409" s="28"/>
      <c r="J409" s="77" t="s">
        <v>209</v>
      </c>
      <c r="K409" s="77"/>
      <c r="L409" s="28"/>
      <c r="M409" s="77" t="s">
        <v>210</v>
      </c>
      <c r="N409" s="77"/>
      <c r="P409" s="803"/>
      <c r="Q409" s="804" t="s">
        <v>1294</v>
      </c>
    </row>
    <row r="410" spans="1:17" ht="35.5">
      <c r="A410" s="217"/>
      <c r="B410" s="218" t="s">
        <v>333</v>
      </c>
      <c r="C410" s="12"/>
      <c r="D410" s="79" t="s">
        <v>211</v>
      </c>
      <c r="E410" s="79" t="s">
        <v>212</v>
      </c>
      <c r="F410" s="79" t="str">
        <f>F314</f>
        <v>Heat Input from GIS certificates (MMBtu)</v>
      </c>
      <c r="G410" s="28"/>
      <c r="H410" s="66" t="s">
        <v>331</v>
      </c>
      <c r="I410" s="78"/>
      <c r="J410" s="66" t="s">
        <v>332</v>
      </c>
      <c r="K410" s="66" t="s">
        <v>333</v>
      </c>
      <c r="L410" s="78"/>
      <c r="M410" s="66" t="s">
        <v>334</v>
      </c>
      <c r="N410" s="66" t="s">
        <v>333</v>
      </c>
      <c r="P410" s="98" t="s">
        <v>2285</v>
      </c>
      <c r="Q410" s="177">
        <f>GIS!AF194*GIS!$G36</f>
        <v>0</v>
      </c>
    </row>
    <row r="411" spans="1:17" ht="14.5">
      <c r="A411" s="219" t="s">
        <v>214</v>
      </c>
      <c r="B411" s="220">
        <f>SUM(B412:B416)+F415+F416</f>
        <v>51284.335932884787</v>
      </c>
      <c r="D411" s="66" t="s">
        <v>215</v>
      </c>
      <c r="E411" s="66"/>
      <c r="F411" s="66"/>
      <c r="G411" s="28"/>
      <c r="H411" s="28"/>
      <c r="I411" s="28"/>
      <c r="J411" s="78"/>
      <c r="K411" s="78"/>
      <c r="L411" s="28"/>
      <c r="M411" s="78"/>
      <c r="N411" s="78"/>
      <c r="P411" s="33" t="s">
        <v>1262</v>
      </c>
      <c r="Q411" s="177">
        <f>GIS!AF195*GIS!$G37</f>
        <v>0</v>
      </c>
    </row>
    <row r="412" spans="1:17" ht="14.5">
      <c r="A412" s="221" t="s">
        <v>1401</v>
      </c>
      <c r="B412" s="222">
        <f>H416</f>
        <v>0</v>
      </c>
      <c r="D412" s="81" t="s">
        <v>2534</v>
      </c>
      <c r="E412" s="94" t="s">
        <v>46</v>
      </c>
      <c r="F412" s="95">
        <f>Q413+Q424</f>
        <v>0</v>
      </c>
      <c r="G412" s="28"/>
      <c r="H412" s="80">
        <f>F412*'GWPs &amp; Fuel EFs'!$N$7</f>
        <v>0</v>
      </c>
      <c r="I412" s="28"/>
      <c r="J412" s="80">
        <f>F412*'GWPs &amp; Fuel EFs'!$M$35</f>
        <v>0</v>
      </c>
      <c r="K412" s="80">
        <f>J412*'GWPs &amp; Fuel EFs'!$D$11</f>
        <v>0</v>
      </c>
      <c r="L412" s="28"/>
      <c r="M412" s="80">
        <f>F412*'GWPs &amp; Fuel EFs'!$M$63</f>
        <v>0</v>
      </c>
      <c r="N412" s="80">
        <f>M412*'GWPs &amp; Fuel EFs'!$E$11</f>
        <v>0</v>
      </c>
      <c r="P412" s="33" t="s">
        <v>1263</v>
      </c>
      <c r="Q412" s="177">
        <f>GIS!AF196*GIS!$G38</f>
        <v>0</v>
      </c>
    </row>
    <row r="413" spans="1:17" ht="14.5">
      <c r="A413" s="221" t="s">
        <v>216</v>
      </c>
      <c r="B413" s="222">
        <f>K416</f>
        <v>0</v>
      </c>
      <c r="D413" s="81" t="s">
        <v>380</v>
      </c>
      <c r="E413" s="94" t="s">
        <v>39</v>
      </c>
      <c r="F413" s="95">
        <f>Q422</f>
        <v>0</v>
      </c>
      <c r="G413" s="28"/>
      <c r="H413" s="80">
        <f>F413*'GWPs &amp; Fuel EFs'!$N$8</f>
        <v>0</v>
      </c>
      <c r="I413" s="28"/>
      <c r="J413" s="80">
        <f>F413*'GWPs &amp; Fuel EFs'!$M$36</f>
        <v>0</v>
      </c>
      <c r="K413" s="80">
        <f>J413*'GWPs &amp; Fuel EFs'!$D$11</f>
        <v>0</v>
      </c>
      <c r="L413" s="28"/>
      <c r="M413" s="80">
        <f>F413*'GWPs &amp; Fuel EFs'!$M$64</f>
        <v>0</v>
      </c>
      <c r="N413" s="80">
        <f>M413*'GWPs &amp; Fuel EFs'!$E$11</f>
        <v>0</v>
      </c>
      <c r="P413" s="33" t="s">
        <v>1264</v>
      </c>
      <c r="Q413" s="177">
        <f>GIS!AF197*GIS!$G39</f>
        <v>0</v>
      </c>
    </row>
    <row r="414" spans="1:17" ht="14.5">
      <c r="A414" s="221" t="s">
        <v>217</v>
      </c>
      <c r="B414" s="222">
        <f>N416</f>
        <v>0</v>
      </c>
      <c r="D414" s="81" t="s">
        <v>394</v>
      </c>
      <c r="E414" s="94" t="s">
        <v>17</v>
      </c>
      <c r="F414" s="95">
        <f>(Q421+Q426)*'GIS Heat Input'!F78</f>
        <v>0</v>
      </c>
      <c r="G414" s="28"/>
      <c r="H414" s="80">
        <f>F414*'GWPs &amp; Fuel EFs'!$N$9</f>
        <v>0</v>
      </c>
      <c r="I414" s="28"/>
      <c r="J414" s="80">
        <f>F414*'GWPs &amp; Fuel EFs'!$M$37</f>
        <v>0</v>
      </c>
      <c r="K414" s="80">
        <f>J414*'GWPs &amp; Fuel EFs'!$D$11</f>
        <v>0</v>
      </c>
      <c r="L414" s="28"/>
      <c r="M414" s="80">
        <f>F414*'GWPs &amp; Fuel EFs'!$M$65</f>
        <v>0</v>
      </c>
      <c r="N414" s="80">
        <f>M414*'GWPs &amp; Fuel EFs'!$E$11</f>
        <v>0</v>
      </c>
      <c r="P414" s="33" t="s">
        <v>1265</v>
      </c>
      <c r="Q414" s="177">
        <f>GIS!AF198*GIS!$G40</f>
        <v>86883.482106449635</v>
      </c>
    </row>
    <row r="415" spans="1:17" ht="14.5">
      <c r="A415" s="221" t="s">
        <v>218</v>
      </c>
      <c r="B415" s="222">
        <f>K423</f>
        <v>15323.623196499528</v>
      </c>
      <c r="D415" s="81"/>
      <c r="E415" s="82"/>
      <c r="F415" s="80"/>
      <c r="G415" s="28"/>
      <c r="H415" s="83">
        <f>SUM(H412:H414)</f>
        <v>0</v>
      </c>
      <c r="I415" s="28"/>
      <c r="J415" s="80"/>
      <c r="K415" s="83">
        <f>SUM(K411:K414)</f>
        <v>0</v>
      </c>
      <c r="L415" s="28"/>
      <c r="M415" s="80"/>
      <c r="N415" s="83">
        <f>SUM(N411:N414)</f>
        <v>0</v>
      </c>
      <c r="P415" s="33" t="s">
        <v>1266</v>
      </c>
      <c r="Q415" s="177">
        <f>GIS!AF199*GIS!$G41</f>
        <v>0</v>
      </c>
    </row>
    <row r="416" spans="1:17" ht="14.5">
      <c r="A416" s="221" t="s">
        <v>219</v>
      </c>
      <c r="B416" s="222">
        <f>N423</f>
        <v>35960.712736385263</v>
      </c>
      <c r="E416" s="28"/>
      <c r="G416" s="28"/>
      <c r="H416" s="83"/>
      <c r="I416" s="28"/>
      <c r="J416" s="80"/>
      <c r="K416" s="83"/>
      <c r="L416" s="28"/>
      <c r="M416" s="80"/>
      <c r="N416" s="83"/>
      <c r="P416" s="33" t="s">
        <v>1267</v>
      </c>
      <c r="Q416" s="177">
        <f>GIS!AF200*GIS!$G42</f>
        <v>0</v>
      </c>
    </row>
    <row r="417" spans="1:17" ht="14.5">
      <c r="A417" s="221"/>
      <c r="B417" s="221"/>
      <c r="P417" s="37" t="s">
        <v>1268</v>
      </c>
      <c r="Q417" s="177">
        <f>GIS!AF201*GIS!$G43</f>
        <v>0</v>
      </c>
    </row>
    <row r="418" spans="1:17" ht="14.5">
      <c r="A418" s="223" t="s">
        <v>220</v>
      </c>
      <c r="B418" s="220">
        <f>H423</f>
        <v>9973763.2480216306</v>
      </c>
      <c r="D418" s="66" t="s">
        <v>221</v>
      </c>
      <c r="E418" s="28"/>
      <c r="F418" s="80"/>
      <c r="G418" s="28"/>
      <c r="H418" s="83"/>
      <c r="I418" s="28"/>
      <c r="J418" s="80"/>
      <c r="K418" s="83"/>
      <c r="L418" s="28"/>
      <c r="M418" s="80"/>
      <c r="N418" s="83"/>
      <c r="P418" s="37" t="s">
        <v>1269</v>
      </c>
      <c r="Q418" s="177">
        <f>GIS!AF202*GIS!$G44</f>
        <v>0</v>
      </c>
    </row>
    <row r="419" spans="1:17" ht="14.5">
      <c r="A419" s="221"/>
      <c r="B419" s="224"/>
      <c r="D419" s="81" t="s">
        <v>388</v>
      </c>
      <c r="E419" s="94" t="s">
        <v>63</v>
      </c>
      <c r="F419" s="95">
        <f>Q420</f>
        <v>0</v>
      </c>
      <c r="G419" s="28"/>
      <c r="H419" s="80">
        <f>F419*'GWPs &amp; Fuel EFs'!$N$20</f>
        <v>0</v>
      </c>
      <c r="I419" s="28"/>
      <c r="J419" s="80">
        <f>F419*'GWPs &amp; Fuel EFs'!$M$48</f>
        <v>0</v>
      </c>
      <c r="K419" s="80">
        <f>J419*'GWPs &amp; Fuel EFs'!$D$11</f>
        <v>0</v>
      </c>
      <c r="L419" s="28"/>
      <c r="M419" s="80">
        <f>F419*'GWPs &amp; Fuel EFs'!$M$76</f>
        <v>0</v>
      </c>
      <c r="N419" s="80">
        <f>M419*'GWPs &amp; Fuel EFs'!$E$11</f>
        <v>0</v>
      </c>
      <c r="P419" s="33" t="s">
        <v>1270</v>
      </c>
      <c r="Q419" s="177">
        <f>GIS!AF203*GIS!$G45</f>
        <v>0</v>
      </c>
    </row>
    <row r="420" spans="1:17" ht="14.5">
      <c r="A420" s="221"/>
      <c r="B420" s="221"/>
      <c r="D420" s="81" t="s">
        <v>391</v>
      </c>
      <c r="E420" s="94" t="s">
        <v>16</v>
      </c>
      <c r="F420" s="95">
        <f>(Q421+Q426)*'GIS Heat Input'!F81</f>
        <v>0</v>
      </c>
      <c r="G420" s="28"/>
      <c r="H420" s="80">
        <f>F420*'GWPs &amp; Fuel EFs'!$N$21</f>
        <v>0</v>
      </c>
      <c r="I420" s="28"/>
      <c r="J420" s="80">
        <f>F420*'GWPs &amp; Fuel EFs'!$M$49</f>
        <v>0</v>
      </c>
      <c r="K420" s="80">
        <f>J420*'GWPs &amp; Fuel EFs'!$D$11</f>
        <v>0</v>
      </c>
      <c r="L420" s="28"/>
      <c r="M420" s="80">
        <f>F420*'GWPs &amp; Fuel EFs'!$M$77</f>
        <v>0</v>
      </c>
      <c r="N420" s="80">
        <f>M420*'GWPs &amp; Fuel EFs'!$E$11</f>
        <v>0</v>
      </c>
      <c r="P420" s="33" t="s">
        <v>1271</v>
      </c>
      <c r="Q420" s="177">
        <f>GIS!AF204*GIS!$G46</f>
        <v>0</v>
      </c>
    </row>
    <row r="421" spans="1:17" ht="14.5">
      <c r="A421" s="221"/>
      <c r="B421" s="221"/>
      <c r="D421" s="81" t="s">
        <v>396</v>
      </c>
      <c r="E421" s="94" t="s">
        <v>69</v>
      </c>
      <c r="F421" s="95">
        <f>Q411+Q428</f>
        <v>0</v>
      </c>
      <c r="G421" s="28"/>
      <c r="H421" s="80">
        <f>F421*'GWPs &amp; Fuel EFs'!$N$23</f>
        <v>0</v>
      </c>
      <c r="I421" s="28"/>
      <c r="J421" s="80">
        <f>F421*'GWPs &amp; Fuel EFs'!$M$51</f>
        <v>0</v>
      </c>
      <c r="K421" s="80">
        <f>J421*'GWPs &amp; Fuel EFs'!$D$11</f>
        <v>0</v>
      </c>
      <c r="L421" s="28"/>
      <c r="M421" s="80">
        <f>F421*'GWPs &amp; Fuel EFs'!$M$79</f>
        <v>0</v>
      </c>
      <c r="N421" s="80">
        <f>M421*'GWPs &amp; Fuel EFs'!$E$11</f>
        <v>0</v>
      </c>
      <c r="P421" s="33" t="s">
        <v>1272</v>
      </c>
      <c r="Q421" s="177">
        <f>GIS!AF205*GIS!$G47</f>
        <v>0</v>
      </c>
    </row>
    <row r="422" spans="1:17" ht="14.5">
      <c r="A422" s="221"/>
      <c r="B422" s="222"/>
      <c r="D422" s="81" t="s">
        <v>2287</v>
      </c>
      <c r="E422" s="94" t="s">
        <v>68</v>
      </c>
      <c r="F422" s="95">
        <f>Q410+Q414</f>
        <v>86883.482106449635</v>
      </c>
      <c r="G422" s="28"/>
      <c r="H422" s="80">
        <f>F422*'GWPs &amp; Fuel EFs'!$N$27</f>
        <v>9973763.2480216306</v>
      </c>
      <c r="I422" s="28"/>
      <c r="J422" s="80">
        <f>F422*'GWPs &amp; Fuel EFs'!$M$55</f>
        <v>612.94492785998114</v>
      </c>
      <c r="K422" s="80">
        <f>J422*'GWPs &amp; Fuel EFs'!$D$11</f>
        <v>15323.623196499528</v>
      </c>
      <c r="L422" s="28"/>
      <c r="M422" s="80">
        <f>F422*'GWPs &amp; Fuel EFs'!$M$83</f>
        <v>120.67353267243378</v>
      </c>
      <c r="N422" s="80">
        <f>M422*'GWPs &amp; Fuel EFs'!$E$11</f>
        <v>35960.712736385263</v>
      </c>
      <c r="O422" s="12"/>
      <c r="P422" s="33" t="s">
        <v>1273</v>
      </c>
      <c r="Q422" s="177">
        <f>GIS!AF206*GIS!$G48</f>
        <v>0</v>
      </c>
    </row>
    <row r="423" spans="1:17" ht="14.5">
      <c r="A423" s="221"/>
      <c r="B423" s="222"/>
      <c r="D423" s="81"/>
      <c r="E423" s="82"/>
      <c r="F423" s="80"/>
      <c r="G423" s="28"/>
      <c r="H423" s="83">
        <f>SUM(H419:H422)</f>
        <v>9973763.2480216306</v>
      </c>
      <c r="I423" s="28"/>
      <c r="J423" s="80"/>
      <c r="K423" s="83">
        <f>SUM(K419:K422)</f>
        <v>15323.623196499528</v>
      </c>
      <c r="L423" s="28"/>
      <c r="M423" s="80"/>
      <c r="N423" s="83">
        <f>SUM(N419:N422)</f>
        <v>35960.712736385263</v>
      </c>
      <c r="P423" s="33" t="s">
        <v>1274</v>
      </c>
      <c r="Q423" s="177">
        <f>GIS!AF207*GIS!$G49</f>
        <v>0</v>
      </c>
    </row>
    <row r="424" spans="1:17" ht="14.5">
      <c r="A424" s="221"/>
      <c r="B424" s="222"/>
      <c r="D424" s="81"/>
      <c r="E424" s="82"/>
      <c r="F424" s="80"/>
      <c r="G424" s="28"/>
      <c r="H424" s="80"/>
      <c r="I424" s="28"/>
      <c r="J424" s="80"/>
      <c r="K424" s="80"/>
      <c r="L424" s="28"/>
      <c r="M424" s="80"/>
      <c r="N424" s="80"/>
      <c r="P424" s="33" t="s">
        <v>1275</v>
      </c>
      <c r="Q424" s="177">
        <f>GIS!AF208*GIS!$G50</f>
        <v>0</v>
      </c>
    </row>
    <row r="425" spans="1:17" ht="14.5">
      <c r="A425" s="221"/>
      <c r="B425" s="222"/>
      <c r="D425" s="28"/>
      <c r="E425" s="28"/>
      <c r="F425" s="28"/>
      <c r="G425" s="28"/>
      <c r="P425" s="43" t="s">
        <v>1276</v>
      </c>
      <c r="Q425" s="177">
        <f>GIS!AF209*GIS!$G51</f>
        <v>0</v>
      </c>
    </row>
    <row r="426" spans="1:17" ht="14.5">
      <c r="A426" s="221"/>
      <c r="B426" s="221"/>
      <c r="P426" s="33" t="s">
        <v>1277</v>
      </c>
      <c r="Q426" s="177">
        <f>GIS!AF210*GIS!$G52</f>
        <v>0</v>
      </c>
    </row>
    <row r="427" spans="1:17" ht="14.5">
      <c r="A427" s="221"/>
      <c r="B427" s="221"/>
      <c r="P427" s="33" t="s">
        <v>1278</v>
      </c>
      <c r="Q427" s="177">
        <f>GIS!AF211*GIS!$G53</f>
        <v>0</v>
      </c>
    </row>
    <row r="428" spans="1:17" ht="14.5">
      <c r="A428" s="221"/>
      <c r="B428" s="221"/>
      <c r="P428" s="33" t="s">
        <v>1279</v>
      </c>
      <c r="Q428" s="177">
        <f>GIS!AF212*GIS!$G54</f>
        <v>0</v>
      </c>
    </row>
    <row r="429" spans="1:17">
      <c r="A429" s="252"/>
      <c r="B429" s="252"/>
      <c r="C429" s="252"/>
      <c r="D429" s="252"/>
      <c r="E429" s="252"/>
      <c r="F429" s="252"/>
      <c r="G429" s="252"/>
      <c r="H429" s="252"/>
      <c r="I429" s="252"/>
      <c r="J429" s="252"/>
      <c r="K429" s="252"/>
      <c r="L429" s="252"/>
      <c r="M429" s="252"/>
      <c r="N429" s="252"/>
      <c r="O429" s="252"/>
      <c r="P429" s="252"/>
      <c r="Q429" s="252"/>
    </row>
  </sheetData>
  <mergeCells count="82">
    <mergeCell ref="Q288:Q289"/>
    <mergeCell ref="P288:P289"/>
    <mergeCell ref="Q312:Q313"/>
    <mergeCell ref="Q336:Q337"/>
    <mergeCell ref="P312:P313"/>
    <mergeCell ref="P336:P337"/>
    <mergeCell ref="P384:P385"/>
    <mergeCell ref="P408:P409"/>
    <mergeCell ref="P360:P361"/>
    <mergeCell ref="Q360:Q361"/>
    <mergeCell ref="Q408:Q409"/>
    <mergeCell ref="Q384:Q385"/>
    <mergeCell ref="A15:B15"/>
    <mergeCell ref="H15:I15"/>
    <mergeCell ref="D15:F15"/>
    <mergeCell ref="M32:N32"/>
    <mergeCell ref="A126:B126"/>
    <mergeCell ref="A108:B108"/>
    <mergeCell ref="A125:B125"/>
    <mergeCell ref="A71:B71"/>
    <mergeCell ref="J71:K71"/>
    <mergeCell ref="D71:F71"/>
    <mergeCell ref="A70:B70"/>
    <mergeCell ref="M71:N71"/>
    <mergeCell ref="A89:B89"/>
    <mergeCell ref="J89:K89"/>
    <mergeCell ref="D89:F89"/>
    <mergeCell ref="A88:B88"/>
    <mergeCell ref="H14:I14"/>
    <mergeCell ref="J14:K14"/>
    <mergeCell ref="D14:F14"/>
    <mergeCell ref="D145:F145"/>
    <mergeCell ref="J145:K145"/>
    <mergeCell ref="J15:K15"/>
    <mergeCell ref="J126:K126"/>
    <mergeCell ref="D126:F126"/>
    <mergeCell ref="D32:F32"/>
    <mergeCell ref="D33:F33"/>
    <mergeCell ref="J108:K108"/>
    <mergeCell ref="D125:F125"/>
    <mergeCell ref="J125:K125"/>
    <mergeCell ref="D108:F108"/>
    <mergeCell ref="J70:K70"/>
    <mergeCell ref="J88:K88"/>
    <mergeCell ref="M14:N14"/>
    <mergeCell ref="M15:N15"/>
    <mergeCell ref="A51:B51"/>
    <mergeCell ref="J51:K51"/>
    <mergeCell ref="D51:F51"/>
    <mergeCell ref="M33:N33"/>
    <mergeCell ref="J50:K50"/>
    <mergeCell ref="M50:N50"/>
    <mergeCell ref="M51:N51"/>
    <mergeCell ref="A14:B14"/>
    <mergeCell ref="A32:B32"/>
    <mergeCell ref="J32:K32"/>
    <mergeCell ref="A33:B33"/>
    <mergeCell ref="A50:B50"/>
    <mergeCell ref="J33:K33"/>
    <mergeCell ref="D50:F50"/>
    <mergeCell ref="M70:N70"/>
    <mergeCell ref="D88:F88"/>
    <mergeCell ref="M88:N88"/>
    <mergeCell ref="A107:B107"/>
    <mergeCell ref="D107:F107"/>
    <mergeCell ref="D70:F70"/>
    <mergeCell ref="A157:B157"/>
    <mergeCell ref="D157:F157"/>
    <mergeCell ref="A158:B158"/>
    <mergeCell ref="D158:F158"/>
    <mergeCell ref="M89:N89"/>
    <mergeCell ref="M107:N107"/>
    <mergeCell ref="M108:N108"/>
    <mergeCell ref="A146:B146"/>
    <mergeCell ref="D146:F146"/>
    <mergeCell ref="A145:B145"/>
    <mergeCell ref="J107:K107"/>
    <mergeCell ref="M125:N125"/>
    <mergeCell ref="M126:N126"/>
    <mergeCell ref="M145:N145"/>
    <mergeCell ref="J146:K146"/>
    <mergeCell ref="M146:N146"/>
  </mergeCells>
  <phoneticPr fontId="7" type="noConversion"/>
  <pageMargins left="0" right="0" top="0.75" bottom="1" header="0.5" footer="0.5"/>
  <pageSetup scale="44" fitToHeight="0" orientation="landscape"/>
  <headerFooter alignWithMargins="0">
    <oddFooter>&amp;R&amp;A Page &amp;P of &amp;N</oddFooter>
  </headerFooter>
  <rowBreaks count="5" manualBreakCount="5">
    <brk id="69" max="16383" man="1"/>
    <brk id="144" max="16383" man="1"/>
    <brk id="207" max="16383" man="1"/>
    <brk id="279" max="16383" man="1"/>
    <brk id="3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6" tint="0.39997558519241921"/>
    <pageSetUpPr fitToPage="1"/>
  </sheetPr>
  <dimension ref="A1:H119"/>
  <sheetViews>
    <sheetView zoomScaleNormal="100" workbookViewId="0"/>
  </sheetViews>
  <sheetFormatPr defaultColWidth="9.1796875" defaultRowHeight="12.5"/>
  <cols>
    <col min="1" max="1" width="52.1796875" style="20" customWidth="1"/>
    <col min="2" max="2" width="12.81640625" style="20" customWidth="1"/>
    <col min="3" max="3" width="13" style="20" customWidth="1"/>
    <col min="4" max="4" width="12" style="20" customWidth="1"/>
    <col min="5" max="5" width="14.54296875" style="20" customWidth="1"/>
    <col min="6" max="6" width="12" style="20" customWidth="1"/>
    <col min="7" max="7" width="11.54296875" style="20" customWidth="1"/>
    <col min="8" max="8" width="23.81640625" style="20" customWidth="1"/>
    <col min="9" max="16384" width="9.1796875" style="20"/>
  </cols>
  <sheetData>
    <row r="1" spans="1:8" ht="15.5">
      <c r="A1" s="104" t="s">
        <v>2649</v>
      </c>
    </row>
    <row r="2" spans="1:8">
      <c r="A2" s="20" t="s">
        <v>2722</v>
      </c>
    </row>
    <row r="3" spans="1:8">
      <c r="A3" s="20" t="s">
        <v>2543</v>
      </c>
    </row>
    <row r="5" spans="1:8">
      <c r="A5" s="20" t="s">
        <v>2644</v>
      </c>
    </row>
    <row r="6" spans="1:8">
      <c r="A6" s="20" t="s">
        <v>2642</v>
      </c>
    </row>
    <row r="7" spans="1:8">
      <c r="A7" s="20" t="s">
        <v>2738</v>
      </c>
    </row>
    <row r="8" spans="1:8">
      <c r="A8" s="20" t="s">
        <v>2643</v>
      </c>
    </row>
    <row r="10" spans="1:8">
      <c r="A10" s="20" t="s">
        <v>3090</v>
      </c>
    </row>
    <row r="11" spans="1:8">
      <c r="A11" s="20" t="s">
        <v>2737</v>
      </c>
    </row>
    <row r="12" spans="1:8" ht="13">
      <c r="G12" s="127"/>
    </row>
    <row r="13" spans="1:8" ht="13">
      <c r="A13" s="40" t="s">
        <v>2293</v>
      </c>
      <c r="G13" s="127"/>
    </row>
    <row r="14" spans="1:8" ht="39.75" customHeight="1">
      <c r="A14" s="140" t="s">
        <v>2294</v>
      </c>
      <c r="B14" s="162" t="s">
        <v>2555</v>
      </c>
      <c r="C14" s="162" t="s">
        <v>2557</v>
      </c>
      <c r="D14" s="162" t="s">
        <v>2556</v>
      </c>
      <c r="E14" s="162" t="s">
        <v>2558</v>
      </c>
      <c r="F14" s="741" t="s">
        <v>3728</v>
      </c>
      <c r="G14" s="162" t="s">
        <v>2563</v>
      </c>
      <c r="H14" s="175" t="s">
        <v>2560</v>
      </c>
    </row>
    <row r="15" spans="1:8" ht="13">
      <c r="A15" s="140" t="s">
        <v>2295</v>
      </c>
      <c r="B15" s="141"/>
      <c r="C15" s="141"/>
      <c r="D15" s="176"/>
      <c r="E15" s="176"/>
      <c r="F15" s="562"/>
      <c r="G15" s="176"/>
      <c r="H15" s="176"/>
    </row>
    <row r="16" spans="1:8">
      <c r="A16" s="142" t="s">
        <v>2534</v>
      </c>
      <c r="B16" s="176">
        <f t="array" ref="B16">SUM(VLOOKUP(GIS!A72,GIS!A69:M87,{4},FALSE)+VLOOKUP(GIS!A122,GIS!A119:M137,{4},FALSE)+VLOOKUP(GIS!A147,GIS!A144:M162,{4},FALSE)+VLOOKUP(GIS!A172,GIS!A169:M187,{4},FALSE)+VLOOKUP(GIS!A197,GIS!A194:M213,{4},FALSE)+VLOOKUP(GIS!A83,GIS!A69:M87,{4},FALSE)+VLOOKUP(GIS!A133,GIS!A119:M137,{4},FALSE)+VLOOKUP(GIS!A158,GIS!A144:M162,{4},FALSE)+VLOOKUP(GIS!A183,GIS!A169:M187,{4},FALSE)+VLOOKUP(GIS!A208,GIS!A194:M213,{4},FALSE))</f>
        <v>0</v>
      </c>
      <c r="C16" s="176">
        <f t="array" ref="C16">SUM(VLOOKUP(GIS!A222,GIS!A219:M238,{4},FALSE)+VLOOKUP(GIS!A248,GIS!A245:M264,{4},FALSE)+VLOOKUP(GIS!A274,GIS!A271:M289,{4},FALSE)+VLOOKUP(GIS!A233,GIS!A219:M238,{4},FALSE)+VLOOKUP(GIS!A259,GIS!A245:M264,{4},FALSE)+VLOOKUP(GIS!A285,GIS!A271:M289,{4},FALSE))</f>
        <v>0</v>
      </c>
      <c r="D16" s="176">
        <f t="array" ref="D16">SUM(VLOOKUP(GIS!A72,GIS!A69:M87,{5},FALSE)+VLOOKUP(GIS!A122,GIS!A119:M138,{5},FALSE)+VLOOKUP(GIS!A147,GIS!A144:M163,{5},FALSE)+VLOOKUP(GIS!A172,GIS!A169:N188,{5},FALSE)+VLOOKUP(GIS!A197,GIS!A194:M213,{5},FALSE)+VLOOKUP(GIS!A83,GIS!A69:M87,{5},FALSE)+VLOOKUP(GIS!A133,GIS!A119:M138,{5},FALSE)+VLOOKUP(GIS!A158,GIS!A144:M163,{5},FALSE)+VLOOKUP(GIS!A183,GIS!A169:M188,{5},FALSE)+VLOOKUP(GIS!A208,GIS!A194:M213,{5},FALSE))</f>
        <v>0</v>
      </c>
      <c r="E16" s="176">
        <f t="array" ref="E16">SUM(VLOOKUP(GIS!A97,GIS!A94:M112, {2,4,6,8,10,12}, FALSE)+VLOOKUP(GIS!A108,GIS!A94:M112, {2,4,6,8,10,12}, FALSE))</f>
        <v>7506.885006502961</v>
      </c>
      <c r="F16" s="562"/>
      <c r="G16" s="176"/>
      <c r="H16" s="176">
        <f>B16+C16+D16-E16</f>
        <v>-7506.885006502961</v>
      </c>
    </row>
    <row r="17" spans="1:8">
      <c r="A17" s="142" t="s">
        <v>380</v>
      </c>
      <c r="B17" s="176">
        <f t="array" ref="B17">SUM(VLOOKUP(GIS!A81,GIS!A69:M87,{4},FALSE)+VLOOKUP(GIS!A131,GIS!A119:M137,{4},FALSE)+VLOOKUP(GIS!A156,GIS!A144:M162,{4},FALSE)+VLOOKUP(GIS!A181,GIS!A169:M187,{4},FALSE)+VLOOKUP(GIS!A206,GIS!A194:M212,{4},FALSE))</f>
        <v>0</v>
      </c>
      <c r="C17" s="176">
        <f t="array" ref="C17">SUM(VLOOKUP(GIS!A231,GIS!A219:M237,{4},FALSE)+VLOOKUP(GIS!A257,GIS!A245:M263,{4},FALSE)+VLOOKUP(GIS!A283,GIS!A271:M289,{4},FALSE))</f>
        <v>0</v>
      </c>
      <c r="D17" s="176">
        <f t="array" ref="D17">SUM(VLOOKUP(GIS!A81,GIS!A69:M87,{5},FALSE)+VLOOKUP(GIS!A131,GIS!A119:M137,{5},FALSE)+VLOOKUP(GIS!A156,GIS!A144:M162,{5},FALSE)+VLOOKUP(GIS!A181,GIS!A169:N187,{5},FALSE)+VLOOKUP(GIS!A206,GIS!A194:M212,{5},FALSE))</f>
        <v>0</v>
      </c>
      <c r="E17" s="176">
        <f t="array" ref="E17">SUM(VLOOKUP(GIS!A106,GIS!A94:M112, {2,4,6,8,10,12}, FALSE))</f>
        <v>13902.26009120243</v>
      </c>
      <c r="F17" s="562"/>
      <c r="G17" s="176"/>
      <c r="H17" s="176">
        <f>B17+C17+D17-E17</f>
        <v>-13902.26009120243</v>
      </c>
    </row>
    <row r="18" spans="1:8">
      <c r="A18" s="142" t="s">
        <v>2529</v>
      </c>
      <c r="B18" s="176">
        <f t="array" ref="B18">SUM(VLOOKUP(GIS!A80,GIS!A69:M87,{4},FALSE)+VLOOKUP(GIS!A130,GIS!A119:M137,{4},FALSE)+VLOOKUP(GIS!A155,GIS!A144:M162,{4},FALSE)+VLOOKUP(GIS!A180,GIS!A169:M187,{4},FALSE)+VLOOKUP(GIS!A205,GIS!A194:M212,{4},FALSE)+VLOOKUP(GIS!A85,GIS!A69:M87,{4},FALSE)+VLOOKUP(GIS!A135,GIS!A119:M137,{4},FALSE)+VLOOKUP(GIS!A160,GIS!A144:M162,{4},FALSE)+VLOOKUP(GIS!A185,GIS!A169:M187,{4},FALSE)+VLOOKUP(GIS!A210,GIS!A194:M212,{4},FALSE))*F18</f>
        <v>0</v>
      </c>
      <c r="C18" s="176">
        <f t="array" ref="C18">SUM(VLOOKUP(GIS!A230,GIS!A219:M237,{4},FALSE)+VLOOKUP(GIS!A256,GIS!A245:M263,{4},FALSE)+VLOOKUP(GIS!A282,GIS!A271:M289,{4},FALSE)+VLOOKUP(GIS!A235,GIS!A219:M237,{4},FALSE)+VLOOKUP(GIS!A261,GIS!A245:M263,{4},FALSE)+VLOOKUP(GIS!A287,GIS!A271:M289,{4},FALSE))*F18</f>
        <v>0</v>
      </c>
      <c r="D18" s="176">
        <f t="array" ref="D18">SUM(VLOOKUP(GIS!A80,GIS!A71:M87,{5},FALSE)+VLOOKUP(GIS!A130,GIS!A119:M137,{5},FALSE)+VLOOKUP(GIS!A155,GIS!A144:M162,{5},FALSE)+VLOOKUP(GIS!A180,GIS!A169:N187,{5},FALSE)+VLOOKUP(GIS!A205,GIS!A194:M212,{5},FALSE)+VLOOKUP(GIS!A85,GIS!A69:M87,{5},FALSE)+VLOOKUP(GIS!A135,GIS!A119:M137,{5},FALSE)+VLOOKUP(GIS!A160,GIS!A144:M162,{5},FALSE)+VLOOKUP(GIS!A185,GIS!A169:M187,{5},FALSE)+VLOOKUP(GIS!A210,GIS!A194:M212,{5},FALSE))*F18</f>
        <v>0</v>
      </c>
      <c r="E18" s="176">
        <f t="array" ref="E18">SUM(VLOOKUP(GIS!A105,GIS!A94:M112, {2,4,6,8,10,12}, FALSE)+VLOOKUP(GIS!A110,GIS!A94:M112, {2,4,6,8,10,12},FALSE))*F18</f>
        <v>6123.9030304015687</v>
      </c>
      <c r="F18" s="739">
        <f>'EPA Part 75 &amp; GHGRP'!G440</f>
        <v>0.41286801528008782</v>
      </c>
      <c r="G18" s="176"/>
      <c r="H18" s="176">
        <f>B18+C18+D18-E18</f>
        <v>-6123.9030304015687</v>
      </c>
    </row>
    <row r="19" spans="1:8" ht="13">
      <c r="A19" s="140" t="s">
        <v>2296</v>
      </c>
      <c r="B19" s="176"/>
      <c r="C19" s="176"/>
      <c r="D19" s="176"/>
      <c r="E19" s="176"/>
      <c r="F19" s="562"/>
      <c r="G19" s="176"/>
      <c r="H19" s="176"/>
    </row>
    <row r="20" spans="1:8">
      <c r="A20" s="142" t="s">
        <v>388</v>
      </c>
      <c r="B20" s="176">
        <f t="array" ref="B20">SUM(VLOOKUP(GIS!A79,GIS!A69:M87,{4},FALSE)+VLOOKUP(GIS!A129,GIS!A119:M137,{4},FALSE)+VLOOKUP(GIS!A154,GIS!A144:M162,{4},FALSE)+VLOOKUP(GIS!A179,GIS!A169:M187,{4},FALSE)+VLOOKUP(GIS!A204,GIS!A194:M212,{4},FALSE))</f>
        <v>459401.11705659557</v>
      </c>
      <c r="C20" s="176">
        <f t="array" ref="C20">SUM(VLOOKUP(GIS!A229,GIS!A219:M237,{4},FALSE)+VLOOKUP(GIS!A255,GIS!A245:M263,{4},FALSE)+VLOOKUP(GIS!A281,GIS!A271:M289,{4},FALSE))</f>
        <v>2155645.0557192373</v>
      </c>
      <c r="D20" s="176">
        <f t="array" ref="D20">SUM(VLOOKUP(GIS!A79,GIS!A69:M87,{4,5},FALSE)+VLOOKUP(GIS!A129,GIS!A119:M137,{4,5},FALSE)+VLOOKUP(GIS!A154,GIS!A144:M162,{4,5},FALSE)+VLOOKUP(GIS!A179,GIS!A169:M187,{4,5},FALSE)+VLOOKUP(GIS!A204,GIS!A194:M212,{4,5},FALSE))</f>
        <v>644933.47773727402</v>
      </c>
      <c r="E20" s="176">
        <f t="array" ref="E20">SUM(VLOOKUP(GIS!A104,GIS!A94:M112, {2,4,6,8,10,12}, FALSE))</f>
        <v>887647.54673369345</v>
      </c>
      <c r="F20" s="562"/>
      <c r="G20" s="176"/>
      <c r="H20" s="176">
        <f>B20+C20+D20-E20</f>
        <v>2372332.1037794137</v>
      </c>
    </row>
    <row r="21" spans="1:8">
      <c r="A21" s="142" t="s">
        <v>2530</v>
      </c>
      <c r="B21" s="176">
        <f t="array" ref="B21">SUM(VLOOKUP(GIS!A80,GIS!A69:M87,{4},FALSE)+VLOOKUP(GIS!A130,GIS!A119:M138,{4},FALSE)+VLOOKUP(GIS!A155,GIS!A144:M163,{4},FALSE)+VLOOKUP(GIS!A180,GIS!A169:M188,{4},FALSE)+VLOOKUP(GIS!A205,GIS!A194:M212,{4},FALSE)+VLOOKUP(GIS!A85,GIS!A69:M87,{4},FALSE)+VLOOKUP(GIS!A135,GIS!A119:M138,{4},FALSE)+VLOOKUP(GIS!A160,GIS!A144:M163,{4},FALSE)+VLOOKUP(GIS!A185,GIS!A169:M188,{4},FALSE)+VLOOKUP(GIS!A210,GIS!A194:M212,{4},FALSE))*F21</f>
        <v>0</v>
      </c>
      <c r="C21" s="176">
        <f t="array" ref="C21">SUM(VLOOKUP(GIS!A230,GIS!A219:M237,{4},FALSE)+VLOOKUP(GIS!A256,GIS!A245:M263,{4},FALSE)+VLOOKUP(GIS!A282,GIS!A271:M289,{4},FALSE)+VLOOKUP(GIS!A235,GIS!A219:M237,{4},FALSE)+VLOOKUP(GIS!A261,GIS!A245:M263,{4},FALSE)+VLOOKUP(GIS!A287,GIS!A271:M289,{4},FALSE))*F21</f>
        <v>0</v>
      </c>
      <c r="D21" s="176">
        <f t="array" ref="D21">SUM(VLOOKUP(GIS!A80,GIS!A69:M87,{5},FALSE)+VLOOKUP(GIS!A130,GIS!A119:M137,{5},FALSE)+VLOOKUP(GIS!A155,GIS!A144:M162,{5},FALSE)+VLOOKUP(GIS!A180,GIS!A169:M187,{5},FALSE)+VLOOKUP(GIS!A205,GIS!A194:M212,{5},FALSE)+VLOOKUP(GIS!A85,GIS!A69:M87,{5},FALSE)+VLOOKUP(GIS!A135,GIS!A119:M137,{5},FALSE)+VLOOKUP(GIS!A160,GIS!A144:M162,{5},FALSE)+VLOOKUP(GIS!A185,GIS!A169:M187,{5},FALSE)+VLOOKUP(GIS!A210,GIS!A194:M212,{5},FALSE))*F21</f>
        <v>0</v>
      </c>
      <c r="E21" s="176">
        <f t="array" ref="E21">SUM(VLOOKUP(GIS!A105,GIS!A94:M112, {2,4,6,8,10,12}, FALSE)+VLOOKUP(GIS!A110,GIS!A94:M112, {2,4,6,8,10,12},FALSE))*F21</f>
        <v>8708.6894779988233</v>
      </c>
      <c r="F21" s="739">
        <f>'EPA Part 75 &amp; GHGRP'!G441</f>
        <v>0.58713198471991224</v>
      </c>
      <c r="G21" s="176"/>
      <c r="H21" s="176">
        <f>B21+C21+D21-E21</f>
        <v>-8708.6894779988233</v>
      </c>
    </row>
    <row r="22" spans="1:8">
      <c r="A22" s="142" t="s">
        <v>2531</v>
      </c>
      <c r="B22" s="176">
        <f t="array" ref="B22">SUM(VLOOKUP(GIS!A70,GIS!A69:M87,{4},FALSE)+VLOOKUP(GIS!A120,GIS!A119:M137,{4},FALSE)+VLOOKUP(GIS!A145,GIS!A144:M162,{4},FALSE)+VLOOKUP(GIS!A170,GIS!A169:M187,{4},FALSE)+VLOOKUP(GIS!A195,GIS!A194:M212,{4},FALSE)+VLOOKUP(GIS!A87,GIS!A69:M87,{4},FALSE)+VLOOKUP(GIS!A137,GIS!A119:M137,{4},FALSE)+VLOOKUP(GIS!A162,GIS!A144:M162,{4},FALSE)+VLOOKUP(GIS!A187,GIS!A169:M187,{4},FALSE)+VLOOKUP(GIS!A212,GIS!A194:M212,{4},FALSE))</f>
        <v>0</v>
      </c>
      <c r="C22" s="176">
        <f t="array" ref="C22">SUM(VLOOKUP(GIS!A220,GIS!A219:M237,{4},FALSE)+VLOOKUP(GIS!A246,GIS!A245:M263,{4},FALSE)+VLOOKUP(GIS!A272,GIS!A271:M289,{4},FALSE)+VLOOKUP(GIS!A237,GIS!A219:M237,{4},FALSE)+VLOOKUP(GIS!A263,GIS!A245:M263,{4},FALSE)+VLOOKUP(GIS!A289,GIS!A271:M289,{4},FALSE))</f>
        <v>0</v>
      </c>
      <c r="D22" s="176">
        <f t="array" ref="D22">SUM(VLOOKUP(GIS!A70,GIS!A69:M87,{5},FALSE)+VLOOKUP(GIS!A120,GIS!A119:M137,{5},FALSE)+VLOOKUP(GIS!A145,GIS!A144:M162,{5},FALSE)+VLOOKUP(GIS!A170,GIS!A169:M187,{5},FALSE)+VLOOKUP(GIS!A195,GIS!A194:M212,{5},FALSE)+VLOOKUP(GIS!A87,GIS!A69:M87,{5},FALSE)+VLOOKUP(GIS!A137,GIS!A119:M137,{5},FALSE)+VLOOKUP(GIS!A162,GIS!A144:M162,{5},FALSE)+VLOOKUP(GIS!A187,GIS!A169:M187,{5},FALSE)+VLOOKUP(GIS!A212,GIS!A194:M212,{5},FALSE))</f>
        <v>0</v>
      </c>
      <c r="E22" s="176">
        <f t="array" ref="E22">SUM(VLOOKUP(GIS!A95,GIS!A94:M112, {2,4,6,8,10,12}, FALSE)+VLOOKUP(GIS!A112,GIS!A94:M112, {2,4,6,8,10,12},FALSE))</f>
        <v>1485184.1819213985</v>
      </c>
      <c r="F22" s="562"/>
      <c r="G22" s="176"/>
      <c r="H22" s="176">
        <f>B22+C22+D22-E22</f>
        <v>-1485184.1819213985</v>
      </c>
    </row>
    <row r="23" spans="1:8">
      <c r="A23" s="142" t="s">
        <v>2287</v>
      </c>
      <c r="B23" s="176">
        <f t="array" ref="B23">SUM(VLOOKUP(GIS!A69,GIS!A69:M87,{4},FALSE)+VLOOKUP(GIS!A119,GIS!A119:M137,{4},FALSE)+VLOOKUP(GIS!A144,GIS!A144:M162,{4},FALSE)+VLOOKUP(GIS!A169,GIS!A169:M187,{4},FALSE)+VLOOKUP(GIS!A194,GIS!A194:M212,{4},FALSE)+VLOOKUP(GIS!A73,GIS!A69:M87,{4},FALSE)+VLOOKUP(GIS!A123,GIS!A119:M137,{4},FALSE)+VLOOKUP(GIS!A148,GIS!A144:M162,{4},FALSE)+VLOOKUP(GIS!A173,GIS!A169:M187,{4},FALSE)+VLOOKUP(GIS!A198,GIS!A194:M212,{4},FALSE))</f>
        <v>1228.072817384674</v>
      </c>
      <c r="C23" s="176">
        <f t="array" ref="C23">SUM(VLOOKUP(GIS!A219,GIS!A219:M237,{4},FALSE)+VLOOKUP(GIS!A245,GIS!A245:M263,{4},FALSE)+VLOOKUP(GIS!A271,GIS!A271:M289,{4},FALSE)+VLOOKUP(GIS!A223,GIS!A219:M237,{4},FALSE)+VLOOKUP(GIS!A249,GIS!A245:M263,{4},FALSE)+VLOOKUP(GIS!A275,GIS!A271:M289,{4},FALSE))</f>
        <v>0</v>
      </c>
      <c r="D23" s="176">
        <f t="array" ref="D23">SUM(VLOOKUP(GIS!A69,GIS!A69:M87,{5},FALSE)+VLOOKUP(GIS!A119,GIS!A119:M137,{5},FALSE)+VLOOKUP(GIS!A144,GIS!A144:M162,{5},FALSE)+VLOOKUP(GIS!A169,GIS!A169:M187,{5},FALSE)+VLOOKUP(GIS!A194,GIS!A194:M212,{5},FALSE)+VLOOKUP(GIS!A73,GIS!A69:M87,{5},FALSE)+VLOOKUP(GIS!A123,GIS!A119:M137,{5},FALSE)+VLOOKUP(GIS!A148,GIS!A144:M162,{5},FALSE)+VLOOKUP(GIS!A173,GIS!A169:M187,{5},FALSE)+VLOOKUP(GIS!A198,GIS!A194:M212,{5},FALSE))</f>
        <v>37817.018180287218</v>
      </c>
      <c r="E23" s="176">
        <f t="array" ref="E23">SUM(VLOOKUP(GIS!A94,GIS!A94:M112, {2,4,6,8,10,12}, FALSE)+VLOOKUP(GIS!A98,GIS!A94:M112, {2,4,6,8,10,12}, FALSE))</f>
        <v>0</v>
      </c>
      <c r="F23" s="562"/>
      <c r="G23" s="176"/>
      <c r="H23" s="176">
        <f>B23+C23+D23-E23</f>
        <v>39045.09099767189</v>
      </c>
    </row>
    <row r="24" spans="1:8">
      <c r="A24" s="139"/>
    </row>
    <row r="25" spans="1:8" ht="13">
      <c r="A25" s="40" t="s">
        <v>2297</v>
      </c>
    </row>
    <row r="26" spans="1:8" ht="39">
      <c r="A26" s="140" t="s">
        <v>2294</v>
      </c>
      <c r="B26" s="162" t="s">
        <v>2555</v>
      </c>
      <c r="C26" s="162" t="s">
        <v>2557</v>
      </c>
      <c r="D26" s="162" t="s">
        <v>2556</v>
      </c>
      <c r="E26" s="162" t="s">
        <v>2558</v>
      </c>
      <c r="F26" s="741" t="s">
        <v>3728</v>
      </c>
      <c r="G26" s="162" t="s">
        <v>2563</v>
      </c>
      <c r="H26" s="175" t="s">
        <v>2560</v>
      </c>
    </row>
    <row r="27" spans="1:8" ht="13">
      <c r="A27" s="40" t="s">
        <v>2295</v>
      </c>
      <c r="H27" s="522"/>
    </row>
    <row r="28" spans="1:8">
      <c r="A28" s="142" t="s">
        <v>2534</v>
      </c>
      <c r="B28" s="176">
        <f t="array" ref="B28">SUM(VLOOKUP(GIS!A97,GIS!A94:M112,{2},FALSE)+VLOOKUP(GIS!A122,GIS!A119:M137,{2},FALSE)+VLOOKUP(GIS!A147,GIS!A144:M162,{2},FALSE)+VLOOKUP(GIS!A172,GIS!A169:M187,{2},FALSE)+VLOOKUP(GIS!A197,GIS!A194:M212,{2},FALSE)+VLOOKUP(GIS!A108,GIS!A94:M112,{2},FALSE)+VLOOKUP(GIS!A133,GIS!A119:M137,{2},FALSE)+VLOOKUP(GIS!A158,GIS!A144:M162,{2},FALSE)+VLOOKUP(GIS!A183,GIS!A169:M187,{2},FALSE)+VLOOKUP(GIS!A208,GIS!A194:M212,{2},FALSE))</f>
        <v>0</v>
      </c>
      <c r="C28" s="176">
        <f t="array" ref="C28">SUM(VLOOKUP(GIS!A222,GIS!A219:M237,{2},FALSE)+VLOOKUP(GIS!A248,GIS!A245:M263,{2},FALSE)+VLOOKUP(GIS!A274,GIS!A271:M289,{2},FALSE)+VLOOKUP(GIS!A233,GIS!A219:M237,{2},FALSE)+VLOOKUP(GIS!A259,GIS!A245:M263,{2},FALSE)+VLOOKUP(GIS!A285,GIS!A271:M289,{2},FALSE))</f>
        <v>0</v>
      </c>
      <c r="D28" s="176">
        <f t="array" ref="D28">SUM(VLOOKUP(GIS!A97,GIS!A94:M112,{3},FALSE)+VLOOKUP(GIS!A122,GIS!A119:M137,{3},FALSE)+VLOOKUP(GIS!A147,GIS!A144:M162,{3},FALSE)+VLOOKUP(GIS!A172,GIS!A169:N187,{3},FALSE)+VLOOKUP(GIS!A197,GIS!A194:M212,{3},FALSE)+VLOOKUP(GIS!A108,GIS!A94:M112,{3},FALSE)+VLOOKUP(GIS!A133,GIS!A119:M137,{3},FALSE)+VLOOKUP(GIS!A158,GIS!A144:M162,{3},FALSE)+VLOOKUP(GIS!A183,GIS!A169:M187,{3},FALSE)+VLOOKUP(GIS!A208,GIS!A194:M212,{3},FALSE))</f>
        <v>0</v>
      </c>
      <c r="E28" s="176">
        <f t="array" ref="E28">SUM(VLOOKUP(GIS!A72,GIS!A69:M87, {2,4,6,8,10,12}, FALSE)+VLOOKUP(GIS!A83,GIS!A69:M87, {2,4,6,8,10,12}, FALSE))</f>
        <v>0</v>
      </c>
      <c r="F28" s="562"/>
      <c r="G28" s="176"/>
      <c r="H28" s="176">
        <f>B28+C28+D28-E28</f>
        <v>0</v>
      </c>
    </row>
    <row r="29" spans="1:8">
      <c r="A29" s="142" t="s">
        <v>380</v>
      </c>
      <c r="B29" s="176">
        <f t="array" ref="B29">SUM(VLOOKUP(GIS!A106,GIS!A94:M112,{2},FALSE)+VLOOKUP(GIS!A131,GIS!A119:M137,{2},FALSE)+VLOOKUP(GIS!A156,GIS!A144:M162,{2},FALSE)+VLOOKUP(GIS!A181,GIS!A169:M187,{2},FALSE)+VLOOKUP(GIS!A206,GIS!A194:M212,{2},FALSE))</f>
        <v>0</v>
      </c>
      <c r="C29" s="176">
        <f t="array" ref="C29">SUM(VLOOKUP(GIS!A231,GIS!A219:M237,{2},FALSE)+VLOOKUP(GIS!A257,GIS!A245:M263,{2},FALSE)+VLOOKUP(GIS!A283,GIS!A271:M289,{2},FALSE))</f>
        <v>0</v>
      </c>
      <c r="D29" s="176">
        <f t="array" ref="D29">SUM(VLOOKUP(GIS!A106,GIS!A94:M112,{3},FALSE)+VLOOKUP(GIS!A131,GIS!A119:M137,{3},FALSE)+VLOOKUP(GIS!A156,GIS!A144:M162,{3},FALSE)+VLOOKUP(GIS!A181,GIS!A169:N187,{3},FALSE)+VLOOKUP(GIS!A206,GIS!A194:M212,{3},FALSE))</f>
        <v>0</v>
      </c>
      <c r="E29" s="176">
        <f t="array" ref="E29">SUM(VLOOKUP(GIS!A81,GIS!A69:M87, {2,4,6,8,10,12}, FALSE))</f>
        <v>0</v>
      </c>
      <c r="G29" s="176"/>
      <c r="H29" s="176">
        <f>B29+C29+D29-E29</f>
        <v>0</v>
      </c>
    </row>
    <row r="30" spans="1:8">
      <c r="A30" s="142" t="s">
        <v>2529</v>
      </c>
      <c r="B30" s="176">
        <f t="array" ref="B30">SUM(VLOOKUP(GIS!A105,GIS!A105:M112,{2},FALSE)+VLOOKUP(GIS!A130,GIS!A119:M137,{2},FALSE)+VLOOKUP(GIS!A155,GIS!A144:M162,{2},FALSE)+VLOOKUP(GIS!A180,GIS!A169:M187,{2},FALSE)+VLOOKUP(GIS!A205,GIS!A194:M212,{2},FALSE)+VLOOKUP(GIS!A110,GIS!A94:M112,{2},FALSE)+VLOOKUP(GIS!A135,GIS!A119:M137,{2},FALSE)+VLOOKUP(GIS!A160,GIS!A144:M162,{2},FALSE)+VLOOKUP(GIS!A185,GIS!A169:M187,{2},FALSE)+VLOOKUP(GIS!A210,GIS!A194:M212,{2},FALSE))*F30</f>
        <v>0</v>
      </c>
      <c r="C30" s="176">
        <f t="array" ref="C30">SUM(VLOOKUP(GIS!A230,GIS!A219:M237,{2},FALSE)+VLOOKUP(GIS!A256,GIS!A245:M263,{2},FALSE)+VLOOKUP(GIS!A282,GIS!A271:M289,{2},FALSE)+VLOOKUP(GIS!A235,GIS!A219:M237,{2},FALSE)+VLOOKUP(GIS!A261,GIS!A245:M263,{2},FALSE)+VLOOKUP(GIS!A287,GIS!A271:M289,{2},FALSE))*F30</f>
        <v>0</v>
      </c>
      <c r="D30" s="176">
        <f t="array" ref="D30">SUM(VLOOKUP(GIS!A105,GIS!A94:M112,{3},FALSE)+VLOOKUP(GIS!A130,GIS!A119:M137,{3},FALSE)+VLOOKUP(GIS!A155,GIS!A144:M162,{3},FALSE)+VLOOKUP(GIS!A180,GIS!A169:N187,{3},FALSE)+VLOOKUP(GIS!A205,GIS!A194:M212,{3},FALSE)+VLOOKUP(GIS!A110,GIS!A94:M112,{3},FALSE)+VLOOKUP(GIS!A135,GIS!A119:M137,{3},FALSE)+VLOOKUP(GIS!A160,GIS!A144:M162,{3},FALSE)+VLOOKUP(GIS!A185,GIS!A169:M187,{3},FALSE)+VLOOKUP(GIS!A210,GIS!A194:M212,{3},FALSE))*F30</f>
        <v>0</v>
      </c>
      <c r="E30" s="176">
        <f t="array" ref="E30">SUM(VLOOKUP(GIS!A80,GIS!A69:M87, {2,4,6,8,10,12}, FALSE)+VLOOKUP(GIS!A85,GIS!A69:M87, {2,4,6,8,10,12}, FALSE))*F30</f>
        <v>0</v>
      </c>
      <c r="F30" s="740">
        <f>'EPA Part 75 &amp; GHGRP'!F440</f>
        <v>0.39883217174808688</v>
      </c>
      <c r="G30" s="176"/>
      <c r="H30" s="176">
        <f>B30+C30+D30-E30</f>
        <v>0</v>
      </c>
    </row>
    <row r="31" spans="1:8" ht="13">
      <c r="A31" s="140" t="s">
        <v>2296</v>
      </c>
      <c r="B31" s="176"/>
      <c r="C31" s="176"/>
      <c r="D31" s="176"/>
      <c r="E31" s="176"/>
      <c r="F31" s="119"/>
      <c r="G31" s="176"/>
      <c r="H31" s="176"/>
    </row>
    <row r="32" spans="1:8">
      <c r="A32" s="142" t="s">
        <v>388</v>
      </c>
      <c r="B32" s="176">
        <f t="array" ref="B32">SUM(VLOOKUP(GIS!A104,GIS!A94:M112,{2},FALSE)+VLOOKUP(GIS!A129,GIS!A119:M138,{2},FALSE)+VLOOKUP(GIS!A154,GIS!A144:M163,{2},FALSE)+VLOOKUP(GIS!A179,GIS!A169:M188,{2},FALSE)+VLOOKUP(GIS!A204,GIS!A194:M212,{2},FALSE))</f>
        <v>2565971.6765634259</v>
      </c>
      <c r="C32" s="176">
        <f t="array" ref="C32">SUM(VLOOKUP(GIS!A229,GIS!A219:M237,{2},FALSE)+VLOOKUP(GIS!A255,GIS!A245:M263,{2},FALSE)+VLOOKUP(GIS!A281,GIS!A271:M289,{2},FALSE))</f>
        <v>3867923.6530582407</v>
      </c>
      <c r="D32" s="176">
        <f t="array" ref="D32">SUM(VLOOKUP(GIS!A104,GIS!A94:M112,{3},FALSE)+VLOOKUP(GIS!A129,GIS!A119:M137,{3},FALSE)+VLOOKUP(GIS!A154,GIS!A144:M162,{3},FALSE)+VLOOKUP(GIS!A179,GIS!A169:N187,{3},FALSE)+VLOOKUP(GIS!A204,GIS!A194:M212,{3},FALSE))</f>
        <v>610461.76519864448</v>
      </c>
      <c r="E32" s="176">
        <f t="array" ref="E32">SUM(VLOOKUP(GIS!A79,GIS!A69:M87, {2,4,6,8,10,12}, FALSE))</f>
        <v>4238.1618006850431</v>
      </c>
      <c r="F32" s="119"/>
      <c r="G32" s="176"/>
      <c r="H32" s="176">
        <f>B32+C32+D32-E32</f>
        <v>7040118.933019626</v>
      </c>
    </row>
    <row r="33" spans="1:8">
      <c r="A33" s="142" t="s">
        <v>2530</v>
      </c>
      <c r="B33" s="176">
        <f t="array" ref="B33">SUM(VLOOKUP(GIS!A105,GIS!A94:M112,{2},FALSE)+VLOOKUP(GIS!A130,GIS!A119:M137,{2},FALSE)+VLOOKUP(GIS!A155,GIS!A144:M162,{2},FALSE)+VLOOKUP(GIS!A180,GIS!A169:M187,{2},FALSE)+VLOOKUP(GIS!A205,GIS!A194:M212,{2},FALSE)+VLOOKUP(GIS!A110,GIS!A94:M112,{2},FALSE)+VLOOKUP(GIS!A135,GIS!A119:M137,{2},FALSE)+VLOOKUP(GIS!A160,GIS!A144:M162,{2},FALSE)+VLOOKUP(GIS!A185,GIS!A169:M187,{2},FALSE)+VLOOKUP(GIS!A210,GIS!A194:M212,{2},FALSE))*F33</f>
        <v>0</v>
      </c>
      <c r="C33" s="176">
        <f t="array" ref="C33">SUM(VLOOKUP(GIS!A230,GIS!A219:M237,{2},FALSE)+VLOOKUP(GIS!A256,GIS!A245:M263,{2},FALSE)+VLOOKUP(GIS!A282,GIS!A271:M289,{2},FALSE)+VLOOKUP(GIS!A235,GIS!A219:M237,{2},FALSE)+VLOOKUP(GIS!A261,GIS!A245:M263,{2},FALSE)+VLOOKUP(GIS!A287,GIS!A271:M289,{2},FALSE))*F33</f>
        <v>0</v>
      </c>
      <c r="D33" s="176">
        <f t="array" ref="D33">SUM(VLOOKUP(GIS!A105,GIS!A94:M112,{3},FALSE)+VLOOKUP(GIS!A130,GIS!A119:M137,{3},FALSE)+VLOOKUP(GIS!A155,GIS!A144:M162,{3},FALSE)+VLOOKUP(GIS!A180,GIS!A169:N187,{3},FALSE)+VLOOKUP(GIS!A205,GIS!A194:M212,{3},FALSE)+VLOOKUP(GIS!A110,GIS!A94:M112,{3},FALSE)+VLOOKUP(GIS!A135,GIS!A119:M137,{3},FALSE)+VLOOKUP(GIS!A160,GIS!A144:M162,{3},FALSE)+VLOOKUP(GIS!A185,GIS!A169:M187,{3},FALSE)+VLOOKUP(GIS!A210,GIS!A194:M212,{3},FALSE))*F33</f>
        <v>0</v>
      </c>
      <c r="E33" s="176">
        <f t="array" ref="E33">SUM(VLOOKUP(GIS!A80,GIS!A69:M87,{2,4,6,8,10,12},FALSE)+VLOOKUP(GIS!A85,GIS!A69:M87,{2,4,6,8,10,12},FALSE))*F33</f>
        <v>0</v>
      </c>
      <c r="F33" s="740">
        <f>'EPA Part 75 &amp; GHGRP'!F441</f>
        <v>0.60116782825191317</v>
      </c>
      <c r="G33" s="176"/>
      <c r="H33" s="176">
        <f>B33+C33+D33-E33</f>
        <v>0</v>
      </c>
    </row>
    <row r="34" spans="1:8">
      <c r="A34" s="142" t="s">
        <v>2531</v>
      </c>
      <c r="B34" s="176">
        <f t="array" ref="B34">SUM(VLOOKUP(GIS!A95,GIS!A94:M112,{2},FALSE)+VLOOKUP(GIS!A120,GIS!A119:M137,{2},FALSE)+VLOOKUP(GIS!A145,GIS!A144:M162,{2},FALSE)+VLOOKUP(GIS!A170,GIS!A169:M187,{2},FALSE)+VLOOKUP(GIS!A195,GIS!A194:M212,{2},FALSE)+VLOOKUP(GIS!A112,GIS!A94:M112,{2},FALSE)+VLOOKUP(GIS!A137,GIS!A119:M137,{2},FALSE)+VLOOKUP(GIS!A162,GIS!A144:M162,{2},FALSE)+VLOOKUP(GIS!A187,GIS!A169:M187,{2},FALSE)+VLOOKUP(GIS!A212,GIS!A194:M212,{2},FALSE))</f>
        <v>20876711.833477862</v>
      </c>
      <c r="C34" s="176">
        <f t="array" ref="C34">SUM(VLOOKUP(GIS!A220,GIS!A219:M237,{2},FALSE)+VLOOKUP(GIS!A246,GIS!A245:M263,{2},FALSE)+VLOOKUP(GIS!A272,GIS!A271:M289,{2},FALSE)+VLOOKUP(GIS!A237,GIS!A219:M237,{2},FALSE)+VLOOKUP(GIS!A263,GIS!A245:M263,{2},FALSE)+VLOOKUP(GIS!A287,GIS!A271:M289,{2},FALSE))</f>
        <v>1834830.0577487096</v>
      </c>
      <c r="D34" s="176">
        <f t="array" ref="D34">SUM(VLOOKUP(GIS!A95,GIS!A94:M112,{3},FALSE)+VLOOKUP(GIS!A120,GIS!A119:M137,{3},FALSE)+VLOOKUP(GIS!A145,GIS!A144:M162,{3},FALSE)+VLOOKUP(GIS!A170,GIS!A169:N187,{3},FALSE)+VLOOKUP(GIS!A195,GIS!A194:M212,{3},FALSE)+VLOOKUP(GIS!A112,GIS!A94:M112,{3},FALSE)+VLOOKUP(GIS!A137,GIS!A119:M137,{3},FALSE)+VLOOKUP(GIS!A162,GIS!A144:M162,{3},FALSE)+VLOOKUP(GIS!A187,GIS!A169:M187,{3},FALSE)+VLOOKUP(GIS!A212,GIS!A194:M212,{3},FALSE))</f>
        <v>102583.73064350913</v>
      </c>
      <c r="E34" s="176">
        <f t="array" ref="E34">SUM(VLOOKUP(GIS!A70,GIS!A69:M87, {2,4,6,8,10,12}, FALSE)+VLOOKUP(GIS!A87,GIS!A69:M87, {2,4,6,8,10,12},FALSE))</f>
        <v>0</v>
      </c>
      <c r="G34" s="176"/>
      <c r="H34" s="176">
        <f>B34+C34+D34-E34</f>
        <v>22814125.621870082</v>
      </c>
    </row>
    <row r="35" spans="1:8">
      <c r="A35" s="142" t="s">
        <v>2287</v>
      </c>
      <c r="B35" s="176">
        <f t="array" ref="B35">SUM(VLOOKUP(GIS!A94,GIS!A94:M112,{2},FALSE)+VLOOKUP(GIS!A119,GIS!A119:M137,{2},FALSE)+VLOOKUP(GIS!A144,GIS!A144:M162,{2},FALSE)+VLOOKUP(GIS!A169,GIS!A169:M187,{2},FALSE)+VLOOKUP(GIS!A194,GIS!A194:M212,{2},FALSE)+VLOOKUP(GIS!A98,GIS!A94:M112,{2},FALSE)+VLOOKUP(GIS!A123,GIS!A119:M137,{2},FALSE)+VLOOKUP(GIS!A148,GIS!A144:M162,{2},FALSE)+VLOOKUP(GIS!A173,GIS!A169:M187,{2},FALSE)+VLOOKUP(GIS!A198,GIS!A194:M212,{2},FALSE))</f>
        <v>0</v>
      </c>
      <c r="C35" s="176">
        <f t="array" ref="C35">SUM(VLOOKUP(GIS!A219,GIS!A219:M237,{2},FALSE)+VLOOKUP(GIS!A245,GIS!A245:M263,{2},FALSE)+VLOOKUP(GIS!A271,GIS!A271:M289,{2},FALSE)+VLOOKUP(GIS!A223,GIS!A219:M237,{2},FALSE)+VLOOKUP(GIS!A249,GIS!A245:M263,{2},FALSE)+VLOOKUP(GIS!A275,GIS!A271:M289,{2},FALSE))</f>
        <v>0</v>
      </c>
      <c r="D35" s="176">
        <f t="array" ref="D35">SUM(VLOOKUP(GIS!A94,GIS!A94:M112,{3},FALSE)+VLOOKUP(GIS!A119,GIS!A119:M137,{3},FALSE)+VLOOKUP(GIS!A144,GIS!A144:M162,{3},FALSE)+VLOOKUP(GIS!A169,GIS!A169:N187,{3},FALSE)+VLOOKUP(GIS!A194,GIS!A194:M212,{3},FALSE)+VLOOKUP(GIS!A98,GIS!A94:M112,{3},FALSE)+VLOOKUP(GIS!A123,GIS!A119:M137,{3},FALSE)+VLOOKUP(GIS!A148,GIS!A144:M162,{3},FALSE)+VLOOKUP(GIS!A173,GIS!A169:M187,{3},FALSE)+VLOOKUP(GIS!A198,GIS!A194:M212,{3},FALSE))</f>
        <v>27807.01230633683</v>
      </c>
      <c r="E35" s="176">
        <f t="array" ref="E35">SUM(VLOOKUP(GIS!A69,GIS!A69:M87, {2,4,6,8,10,12}, FALSE)+VLOOKUP(GIS!A73,GIS!A69:M87, {2,4,6,8,10,12}, FALSE))</f>
        <v>0</v>
      </c>
      <c r="G35" s="176"/>
      <c r="H35" s="176">
        <f>B35+C35+D35-E35</f>
        <v>27807.01230633683</v>
      </c>
    </row>
    <row r="36" spans="1:8">
      <c r="A36" s="139"/>
    </row>
    <row r="37" spans="1:8" ht="13">
      <c r="A37" s="40" t="s">
        <v>2298</v>
      </c>
    </row>
    <row r="38" spans="1:8" ht="39">
      <c r="A38" s="140" t="s">
        <v>2294</v>
      </c>
      <c r="B38" s="162" t="s">
        <v>2555</v>
      </c>
      <c r="C38" s="162" t="s">
        <v>2557</v>
      </c>
      <c r="D38" s="162" t="s">
        <v>2556</v>
      </c>
      <c r="E38" s="162" t="s">
        <v>2558</v>
      </c>
      <c r="F38" s="162" t="s">
        <v>2532</v>
      </c>
      <c r="G38" s="162" t="s">
        <v>2563</v>
      </c>
      <c r="H38" s="162" t="s">
        <v>2560</v>
      </c>
    </row>
    <row r="39" spans="1:8" ht="13">
      <c r="A39" s="40" t="s">
        <v>2295</v>
      </c>
      <c r="H39" s="522"/>
    </row>
    <row r="40" spans="1:8">
      <c r="A40" s="142" t="s">
        <v>2534</v>
      </c>
      <c r="B40" s="176">
        <f t="array" ref="B40">SUM(VLOOKUP(GIS!A72,GIS!$A$69:$M$87,{6},FALSE)+VLOOKUP(GIS!A97,GIS!$A$94:$M$112,{6},FALSE)+VLOOKUP(GIS!A147,GIS!$A$144:$M$162,{6},FALSE)+VLOOKUP(GIS!A172,GIS!$A$169:$M$187,{6},FALSE)+VLOOKUP(GIS!A197,GIS!$A$194:$M$212,{6},FALSE)+VLOOKUP(GIS!A83,GIS!$A$69:$M$87,{6},FALSE)+VLOOKUP(GIS!A108,GIS!$A$94:$M$112,{6},FALSE)+VLOOKUP(GIS!A158,GIS!$A$144:$M$162,{6},FALSE)+VLOOKUP(GIS!A183,GIS!$A$169:$M$187,{6},FALSE)+VLOOKUP(GIS!A208,GIS!$A$194:$M$212,{6},FALSE))</f>
        <v>0</v>
      </c>
      <c r="C40" s="176">
        <f t="array" ref="C40">SUM(VLOOKUP(GIS!A222,GIS!$A$219:$M$237,{6},FALSE)+VLOOKUP(GIS!A248,GIS!$A$245:$M$263,{6},FALSE)+VLOOKUP(GIS!A274,GIS!$A$271:$M$289,{6},FALSE)+VLOOKUP(GIS!A233,GIS!$A$219:$M$237,{6},FALSE)+VLOOKUP(GIS!A259,GIS!$A$245:$M$263,{6},FALSE)+VLOOKUP(GIS!A285,GIS!$A$271:$M$289,{6},FALSE))</f>
        <v>0</v>
      </c>
      <c r="D40" s="176">
        <f t="array" ref="D40">SUM(VLOOKUP(GIS!A72,GIS!$A$69:$M$87,{7},FALSE)+VLOOKUP(GIS!A97,GIS!$A$94:$M$112,{7},FALSE)+VLOOKUP(GIS!A147,GIS!$A$144:$M$162,{7},FALSE)+VLOOKUP(GIS!A172,GIS!$A$169:$M$187,{7},FALSE)+VLOOKUP(GIS!A197,GIS!$A$194:$M$212,{7},FALSE)+VLOOKUP(GIS!A83,GIS!$A$69:$M$87,{7},FALSE)+VLOOKUP(GIS!A108,GIS!$A$94:$M$112,{7},FALSE)+VLOOKUP(GIS!A158,GIS!$A$144:$M$162,{7},FALSE)+VLOOKUP(GIS!A183,GIS!$A$169:$M$187,{7},FALSE)+VLOOKUP(GIS!A208,GIS!$A$194:$M$212,{7},FALSE))</f>
        <v>0</v>
      </c>
      <c r="E40" s="176">
        <f t="array" ref="E40">SUM(VLOOKUP(GIS!A122,GIS!$A$119:$M$137, {2,4,6,8,10,12}, FALSE)+VLOOKUP(GIS!A133,GIS!$A$119:$M$137, {2,4,6,8,10,12}, FALSE))</f>
        <v>0</v>
      </c>
      <c r="F40" s="562"/>
      <c r="G40" s="176"/>
      <c r="H40" s="176">
        <f>B40+C40+D40-E40</f>
        <v>0</v>
      </c>
    </row>
    <row r="41" spans="1:8">
      <c r="A41" s="142" t="s">
        <v>380</v>
      </c>
      <c r="B41" s="176">
        <f t="array" ref="B41">SUM(VLOOKUP(GIS!A81,GIS!$A$69:$M$87,{6},FALSE)+VLOOKUP(GIS!A106,GIS!$A$94:$M$112,{6},FALSE)+VLOOKUP(GIS!A156,GIS!$A$144:$M$162,{6},FALSE)+VLOOKUP(GIS!A181,GIS!$A$169:$M$187,{6},FALSE)+VLOOKUP(GIS!A195,GIS!$A$194:$M$212,{6},FALSE))</f>
        <v>0</v>
      </c>
      <c r="C41" s="176">
        <f t="array" ref="C41">SUM(VLOOKUP(GIS!A231,GIS!$A$219:$M$237,{6},FALSE)+VLOOKUP(GIS!A257,GIS!$A$245:$M$263,{6},FALSE)+VLOOKUP(GIS!A283,GIS!$A$271:$M$289,{6},FALSE))</f>
        <v>0</v>
      </c>
      <c r="D41" s="176">
        <f t="array" ref="D41">SUM(VLOOKUP(GIS!A81,GIS!$A$69:$M$87,{7},FALSE)+VLOOKUP(GIS!A106,GIS!$A$94:$M$112,{7},FALSE)+VLOOKUP(GIS!A156,GIS!$A$144:$M$162,{7},FALSE)+VLOOKUP(GIS!A181,GIS!$A$169:$M$187,{7},FALSE)+VLOOKUP(GIS!A206,GIS!$A$194:$M$212,{7},FALSE))</f>
        <v>0</v>
      </c>
      <c r="E41" s="176">
        <f t="array" ref="E41">SUM(VLOOKUP(GIS!A131,GIS!$A$119:$M$137, {2,4,6,8,10,12}, FALSE))</f>
        <v>0</v>
      </c>
      <c r="G41" s="176"/>
      <c r="H41" s="176">
        <f>B41+C41+D41-E41</f>
        <v>0</v>
      </c>
    </row>
    <row r="42" spans="1:8">
      <c r="A42" s="142" t="s">
        <v>2529</v>
      </c>
      <c r="B42" s="176">
        <f t="array" ref="B42">SUM(VLOOKUP(GIS!A80,GIS!$A$69:$M$87,{6},FALSE)+VLOOKUP(GIS!A106,GIS!$A$94:$M$112,{6},FALSE)+VLOOKUP(GIS!A156,GIS!$A$144:$M$162,{6},FALSE)+VLOOKUP(GIS!A181,GIS!$A$169:$M$187,{6},FALSE)+VLOOKUP(GIS!A205,GIS!$A$194:$M$212,{6},FALSE)+VLOOKUP(GIS!A85,GIS!$A$69:$M$87,{6},FALSE)+VLOOKUP(GIS!A110,GIS!$A$94:$M$112,{6},FALSE)+VLOOKUP(GIS!A160,GIS!$A$144:$M$162,{6},FALSE)+VLOOKUP(GIS!A185,GIS!$A$169:$M$187,{6},FALSE)+VLOOKUP(GIS!A210,GIS!$A$194:$M$212,{6},FALSE))*F42</f>
        <v>1088679.9786751622</v>
      </c>
      <c r="C42" s="176">
        <f t="array" ref="C42">SUM(VLOOKUP(GIS!A230,GIS!$A$219:$M$237,{6},FALSE)+VLOOKUP(GIS!A256,GIS!$A$245:$M$263,{6},FALSE)+VLOOKUP(GIS!A282,GIS!$A$271:$M$289,{6},FALSE)+VLOOKUP(GIS!A235,GIS!$A$219:$M$237,{6},FALSE)+VLOOKUP(GIS!A261,GIS!$A$245:$M$263,{6},FALSE)+VLOOKUP(GIS!A287,GIS!$A$271:$M$289,{6},FALSE))*F42</f>
        <v>0</v>
      </c>
      <c r="D42" s="176">
        <f t="array" ref="D42">SUM(VLOOKUP(GIS!A80,GIS!$A$69:$M$87,{7},FALSE)+VLOOKUP(GIS!A105,GIS!$A$94:$M$112,{7},FALSE)+VLOOKUP(GIS!A155,GIS!$A$144:$M$162,{7},FALSE)+VLOOKUP(GIS!A180,GIS!$A$169:$M$187,{7},FALSE)+VLOOKUP(GIS!A205,GIS!$A$194:$M$212,{7},FALSE)+VLOOKUP(GIS!A85,GIS!$A$69:$M$87,{7},FALSE)+VLOOKUP(GIS!A110,GIS!$A$94:$M$112,{7},FALSE)+VLOOKUP(GIS!A160,GIS!$A$144:$M$162,{7},FALSE)+VLOOKUP(GIS!A185,GIS!$A$169:$M$187,{7},FALSE)+VLOOKUP(GIS!A210,GIS!$A$194:$M$212,{7},FALSE))*F42</f>
        <v>0</v>
      </c>
      <c r="E42" s="176">
        <f t="array" ref="E42">SUM(VLOOKUP(GIS!A130,GIS!$A$119:$M$137, {2,4,6,8,10,12}, FALSE)+VLOOKUP(GIS!A135,GIS!$A$119:$M$137, {2,4,6,8,10,12}, FALSE))*F42</f>
        <v>0</v>
      </c>
      <c r="F42" s="119">
        <f>'EIA Form 923'!E$2440</f>
        <v>0.55000583702743788</v>
      </c>
      <c r="G42" s="176"/>
      <c r="H42" s="176">
        <f t="shared" ref="H42:H47" si="0">B42+C42+D42-E42</f>
        <v>1088679.9786751622</v>
      </c>
    </row>
    <row r="43" spans="1:8" ht="13">
      <c r="A43" s="140" t="s">
        <v>2296</v>
      </c>
      <c r="B43" s="176"/>
      <c r="C43" s="176"/>
      <c r="D43" s="176"/>
      <c r="E43" s="176"/>
      <c r="F43" s="119"/>
      <c r="G43" s="176"/>
      <c r="H43" s="176"/>
    </row>
    <row r="44" spans="1:8">
      <c r="A44" s="142" t="s">
        <v>388</v>
      </c>
      <c r="B44" s="176">
        <f t="array" ref="B44">SUM(VLOOKUP(GIS!A79,GIS!$A$69:$M$87,{6},FALSE)+VLOOKUP(GIS!A104,GIS!$A$94:$M$112,{6},FALSE)+VLOOKUP(GIS!A154,GIS!$A$144:$M$162,{6},FALSE)+VLOOKUP(GIS!A179,GIS!$A$169:$M$187,{6},FALSE)+VLOOKUP(GIS!A204,GIS!$A$194:$M$212,{6},FALSE))</f>
        <v>0</v>
      </c>
      <c r="C44" s="176">
        <f t="array" ref="C44">SUM(VLOOKUP(GIS!A229,GIS!$A$219:$M$237,{6},FALSE)+VLOOKUP(GIS!A255,GIS!$A$245:$M$263,{6},FALSE)+VLOOKUP(GIS!A281,GIS!$A$271:$M$289,{6},FALSE))</f>
        <v>0</v>
      </c>
      <c r="D44" s="176">
        <f t="array" ref="D44">SUM(VLOOKUP(GIS!A79,GIS!$A$69:$M$87,{7},FALSE)+VLOOKUP(GIS!A104,GIS!$A$94:$M$112,{7},FALSE)+VLOOKUP(GIS!A154,GIS!$A$144:$M$162,{7},FALSE)+VLOOKUP(GIS!A179,GIS!$A$169:$M$187,{7},FALSE)+VLOOKUP(GIS!A204,GIS!$A$194:$M$212,{7},FALSE))</f>
        <v>0</v>
      </c>
      <c r="E44" s="176">
        <f t="array" ref="E44">SUM(VLOOKUP(GIS!A129,GIS!$A$119:$M$137, {2,4,6,8,10,12}, FALSE))</f>
        <v>202373.63008093115</v>
      </c>
      <c r="F44" s="119"/>
      <c r="G44" s="176"/>
      <c r="H44" s="176">
        <f t="shared" si="0"/>
        <v>-202373.63008093115</v>
      </c>
    </row>
    <row r="45" spans="1:8">
      <c r="A45" s="142" t="s">
        <v>2530</v>
      </c>
      <c r="B45" s="176">
        <f t="array" ref="B45">SUM(VLOOKUP(GIS!A80,GIS!$A$69:$M$87,{6},FALSE)+VLOOKUP(GIS!A105,GIS!$A$94:$M$112,{6},FALSE)+VLOOKUP(GIS!A155,GIS!$A$144:$M$162,{6},FALSE)+VLOOKUP(GIS!A180,GIS!$A$169:$M$187,{6},FALSE)+VLOOKUP(GIS!A205,GIS!$A$194:$M$212,{6},FALSE)+VLOOKUP(GIS!A85,GIS!$A$69:$M$87,{6},FALSE)+VLOOKUP(GIS!A110,GIS!$A$94:$M$112,{6},FALSE)+VLOOKUP(GIS!A160,GIS!$A$144:$M$162,{6},FALSE)+VLOOKUP(GIS!A185,GIS!$A$169:$M$187,{6},FALSE)+VLOOKUP(GIS!A210,GIS!$A$194:$M$212,{6},FALSE))*F45</f>
        <v>890717.15746987052</v>
      </c>
      <c r="C45" s="176">
        <f t="array" ref="C45">SUM(VLOOKUP(GIS!A230,GIS!$A$219:$M$237,{6},FALSE)+VLOOKUP(GIS!A256,GIS!$A$245:$M$263,{6},FALSE)+VLOOKUP(GIS!A282,GIS!$A$271:$M$289,{6},FALSE)+VLOOKUP(GIS!A235,GIS!$A$219:$M$237,{6},FALSE)+VLOOKUP(GIS!A261,GIS!$A$245:$M$263,{6},FALSE)+VLOOKUP(GIS!A287,GIS!$A$271:$M$289,{6},FALSE))*F45</f>
        <v>0</v>
      </c>
      <c r="D45" s="176">
        <f t="array" ref="D45">SUM(VLOOKUP(GIS!A80,GIS!$A$69:$M$87,{7},FALSE)+VLOOKUP(GIS!A105,GIS!$A$94:$M$112,{7},FALSE)+VLOOKUP(GIS!A155,GIS!$A$144:$M$162,{7},FALSE)+VLOOKUP(GIS!A180,GIS!$A$169:$M$187,{7},FALSE)+VLOOKUP(GIS!A205,GIS!$A$194:$M$212,{7},FALSE)+VLOOKUP(GIS!A85,GIS!$A$69:$M$87,{7},FALSE)+VLOOKUP(GIS!A110,GIS!$A$94:$M$112,{7},FALSE)+VLOOKUP(GIS!A160,GIS!$A$144:$M$162,{7},FALSE)+VLOOKUP(GIS!A185,GIS!$A$169:$M$187,{7},FALSE)+VLOOKUP(GIS!A210,GIS!$A$194:$M$212,{7},FALSE))*F45</f>
        <v>0</v>
      </c>
      <c r="E45" s="176">
        <f t="array" ref="E45">SUM(VLOOKUP(GIS!A130,GIS!$A$119:$M$137, {2,4,6,8,10,12}, FALSE)+VLOOKUP(GIS!A135,GIS!$A$119:$M$137, {2,4,6,8,10,12}, FALSE))*F45</f>
        <v>0</v>
      </c>
      <c r="F45" s="119">
        <f>1-F42</f>
        <v>0.44999416297256212</v>
      </c>
      <c r="G45" s="176"/>
      <c r="H45" s="176">
        <f t="shared" si="0"/>
        <v>890717.15746987052</v>
      </c>
    </row>
    <row r="46" spans="1:8">
      <c r="A46" s="142" t="s">
        <v>2531</v>
      </c>
      <c r="B46" s="176">
        <f t="array" ref="B46">SUM(VLOOKUP(GIS!A70,GIS!$A$69:$M$87,{6},FALSE)+VLOOKUP(GIS!A95,GIS!$A$94:$M$112,{6},FALSE)+VLOOKUP(GIS!A145,GIS!$A$144:$M$162,{6},FALSE)+VLOOKUP(GIS!A170,GIS!$A$169:$M$187,{6},FALSE)+VLOOKUP(GIS!A195,GIS!$A$194:$M$212,{6},FALSE)+VLOOKUP(GIS!A87,GIS!$A$69:$M$87,{6},FALSE)+VLOOKUP(GIS!A112,GIS!$A$94:$M$112,{6},FALSE)+VLOOKUP(GIS!A162,GIS!$A$144:$M$162,{6},FALSE)+VLOOKUP(GIS!A187,GIS!$A$169:$M$187,{6},FALSE)+VLOOKUP(GIS!A212,GIS!$A$194:$M$212,{6},FALSE))</f>
        <v>11971.827582163936</v>
      </c>
      <c r="C46" s="176">
        <f t="array" ref="C46">SUM(VLOOKUP(GIS!A220,GIS!$A$219:$M$237,{6},FALSE)+VLOOKUP(GIS!A246,GIS!$A$245:$M$263,{6},FALSE)+VLOOKUP(GIS!A272,GIS!$A$271:$M$289,{6},FALSE)+VLOOKUP(GIS!A237,GIS!$A$219:$M$237,{6},FALSE)+VLOOKUP(GIS!A263,GIS!$A$245:$M$263,{6},FALSE)+VLOOKUP(GIS!A289,GIS!$A$271:$M$289,{6},FALSE))</f>
        <v>0</v>
      </c>
      <c r="D46" s="176">
        <f t="array" ref="D46">SUM(VLOOKUP(GIS!A70,GIS!$A$69:$M$87,{7},FALSE)+VLOOKUP(GIS!A95,GIS!$A$94:$M$112,{7},FALSE)+VLOOKUP(GIS!A145,GIS!$A$144:$M$162,{7},FALSE)+VLOOKUP(GIS!A170,GIS!$A$169:$M$187,{7},FALSE)+VLOOKUP(GIS!A195,GIS!$A$194:$M$212,{7},FALSE)+VLOOKUP(GIS!A87,GIS!$A$69:$M$87,{7},FALSE)+VLOOKUP(GIS!A112,GIS!$A$94:$M$112,{7},FALSE)+VLOOKUP(GIS!A162,GIS!$A$144:$M$162,{7},FALSE)+VLOOKUP(GIS!A187,GIS!$A$169:$M$187,{7},FALSE)+VLOOKUP(GIS!A212,GIS!$A$194:$M$212,{7},FALSE))</f>
        <v>0</v>
      </c>
      <c r="E46" s="176">
        <f t="array" ref="E46">SUM(VLOOKUP(GIS!A120,GIS!$A$119:$M$137, {2,4,6,8,10,12}, FALSE)+VLOOKUP(GIS!A137,GIS!$A$119:$M$137, {2,4,6,8,10,12}, FALSE))</f>
        <v>11115272.042657454</v>
      </c>
      <c r="G46" s="176"/>
      <c r="H46" s="176">
        <f t="shared" si="0"/>
        <v>-11103300.21507529</v>
      </c>
    </row>
    <row r="47" spans="1:8">
      <c r="A47" s="142" t="s">
        <v>2287</v>
      </c>
      <c r="B47" s="176">
        <f t="array" ref="B47">SUM(VLOOKUP(GIS!A69,GIS!$A$69:$M$87,{6},FALSE)+VLOOKUP(GIS!A94,GIS!$A$94:$M$112,{6},FALSE)+VLOOKUP(GIS!A144,GIS!$A$144:$M$162,{6},FALSE)+VLOOKUP(GIS!A169,GIS!$A$169:$M$187,{6},FALSE)+VLOOKUP(GIS!A194,GIS!$A$194:$M$212,{6},FALSE)+VLOOKUP(GIS!A73,GIS!$A$69:$M$87,{6},FALSE)+VLOOKUP(GIS!A98,GIS!$A$94:$M$112,{6},FALSE)+VLOOKUP(GIS!A148,GIS!$A$144:$M$162,{6},FALSE)+VLOOKUP(GIS!A173,GIS!$A$169:$M$187,{6},FALSE)+VLOOKUP(GIS!A195,GIS!$A$194:$M$212,{6},FALSE))</f>
        <v>0</v>
      </c>
      <c r="C47" s="176">
        <f t="array" ref="C47">SUM(VLOOKUP(GIS!A219,GIS!$A$219:$M$237,{6},FALSE)+VLOOKUP(GIS!A245,GIS!$A$245:$M$263,{6},FALSE)+VLOOKUP(GIS!A271,GIS!$A$271:$M$289,{6},FALSE)+VLOOKUP(GIS!A223,GIS!$A$219:$M$237,{6},FALSE)+VLOOKUP(GIS!A249,GIS!$A$245:$M$263,{6},FALSE)+VLOOKUP(GIS!A275,GIS!$A$271:$M$289,{6},FALSE))</f>
        <v>0</v>
      </c>
      <c r="D47" s="176">
        <f t="array" ref="D47">SUM(VLOOKUP(GIS!A69,GIS!$A$69:$M$87,{7},FALSE)+VLOOKUP(GIS!A94,GIS!$A$94:$M$112,{7},FALSE)+VLOOKUP(GIS!A144,GIS!$A$144:$M$162,{7},FALSE)+VLOOKUP(GIS!A169,GIS!$A$169:$M$187,{7},FALSE)+VLOOKUP(GIS!A194,GIS!$A$194:$M$212,{7},FALSE)+VLOOKUP(GIS!A73,GIS!$A$69:$M$87,{7},FALSE)+VLOOKUP(GIS!A98,GIS!$A$94:$M$112,{7},FALSE)+VLOOKUP(GIS!A148,GIS!$A$144:$M$162,{7},FALSE)+VLOOKUP(GIS!A173,GIS!$A$169:$M$187,{7},FALSE)+VLOOKUP(GIS!A198,GIS!$A$194:$M$212,{7},FALSE))</f>
        <v>0</v>
      </c>
      <c r="E47" s="176">
        <f t="array" ref="E47">SUM(VLOOKUP(GIS!A119,GIS!$A$119:$M$137, {2,4,6,8,10,12}, FALSE)+VLOOKUP(GIS!A123,GIS!$A$119:$M$137, {2,4,6,8,10,12}, FALSE))</f>
        <v>137244.45667000092</v>
      </c>
      <c r="G47" s="176"/>
      <c r="H47" s="176">
        <f t="shared" si="0"/>
        <v>-137244.45667000092</v>
      </c>
    </row>
    <row r="48" spans="1:8">
      <c r="A48" s="139"/>
    </row>
    <row r="49" spans="1:8" ht="13">
      <c r="A49" s="40" t="s">
        <v>2299</v>
      </c>
    </row>
    <row r="50" spans="1:8" ht="39">
      <c r="A50" s="140" t="s">
        <v>2294</v>
      </c>
      <c r="B50" s="162" t="s">
        <v>2555</v>
      </c>
      <c r="C50" s="162" t="s">
        <v>2557</v>
      </c>
      <c r="D50" s="162" t="s">
        <v>2556</v>
      </c>
      <c r="E50" s="162" t="s">
        <v>2558</v>
      </c>
      <c r="F50" s="162" t="s">
        <v>2532</v>
      </c>
      <c r="G50" s="162" t="s">
        <v>2563</v>
      </c>
      <c r="H50" s="162" t="s">
        <v>2560</v>
      </c>
    </row>
    <row r="51" spans="1:8" ht="13">
      <c r="A51" s="40" t="s">
        <v>2295</v>
      </c>
      <c r="H51" s="176"/>
    </row>
    <row r="52" spans="1:8">
      <c r="A52" s="142" t="s">
        <v>2534</v>
      </c>
      <c r="B52" s="176">
        <f t="array" ref="B52">SUM(VLOOKUP(GIS!A72,GIS!$A$69:$M$87,{8},FALSE)+VLOOKUP(GIS!A97,GIS!$A$94:$M$112,{8},FALSE)+VLOOKUP(GIS!A122,GIS!$A$119:$M$137,{8},FALSE)+VLOOKUP(GIS!A172,GIS!$A$169:$M$187,{8},FALSE)+VLOOKUP(GIS!A197,GIS!$A$194:$M$212,{8},FALSE)+VLOOKUP(GIS!A83,GIS!$A$69:$M$87,{8},FALSE)+VLOOKUP(GIS!A108,GIS!$A$94:$M$112,{8},FALSE)+VLOOKUP(GIS!A133,GIS!$A$119:$M$137,{8},FALSE)+VLOOKUP(GIS!A183,GIS!$A$169:$M$187,{8},FALSE)+VLOOKUP(GIS!A208,GIS!$A$194:$M$212,{8},FALSE))</f>
        <v>7506.885006502961</v>
      </c>
      <c r="C52" s="176">
        <f t="array" ref="C52">SUM(VLOOKUP(GIS!A222,GIS!$A$219:$M$237,{8},FALSE)+VLOOKUP(GIS!A248,GIS!$A$245:$M$263,{8},FALSE)+VLOOKUP(GIS!A274,GIS!$A$271:$M$289,{8},FALSE)+VLOOKUP(GIS!A233,GIS!$A$219:$M$237,{8},FALSE)+VLOOKUP(GIS!A259,GIS!$A$245:$M$263,{8},FALSE)+VLOOKUP(GIS!A285,GIS!$A$271:$M$289,{8},FALSE))</f>
        <v>0</v>
      </c>
      <c r="D52" s="176">
        <f t="array" ref="D52">SUM(VLOOKUP(GIS!A72,GIS!$A$69:$M$87,{9},FALSE)+VLOOKUP(GIS!A97,GIS!$A$94:$M$112,{9},FALSE)+VLOOKUP(GIS!A122,GIS!$A$119:$M$137,{9},FALSE)+VLOOKUP(GIS!A172,GIS!$A$169:$M$187,{9},FALSE)+VLOOKUP(GIS!A197,GIS!$A$194:$M$212,{9},FALSE)+VLOOKUP(GIS!A83,GIS!$A$69:$M$87,{9},FALSE)+VLOOKUP(GIS!A108,GIS!$A$94:$M$112,{9},FALSE)+VLOOKUP(GIS!A133,GIS!$A$119:$M$137,{9},FALSE)+VLOOKUP(GIS!A183,GIS!$A$169:$M$187,{9},FALSE)+VLOOKUP(GIS!A208,GIS!$A$194:$M$212,{9},FALSE))</f>
        <v>0</v>
      </c>
      <c r="E52" s="176">
        <f t="array" ref="E52">SUM(VLOOKUP(GIS!A147,GIS!$A$144:$M$162, {2,4,6,8,10,12}, FALSE)+VLOOKUP(GIS!A158,GIS!$A$144:$M$162, {2,4,6,8,10,12}, FALSE))</f>
        <v>0</v>
      </c>
      <c r="F52" s="562"/>
      <c r="G52" s="176"/>
      <c r="H52" s="176">
        <f>B52+C52+D52-E52</f>
        <v>7506.885006502961</v>
      </c>
    </row>
    <row r="53" spans="1:8">
      <c r="A53" s="142" t="s">
        <v>380</v>
      </c>
      <c r="B53" s="176">
        <f t="array" ref="B53">SUM(VLOOKUP(GIS!A81,GIS!$A$69:$M$87,{8},FALSE)+VLOOKUP(GIS!A106,GIS!$A$94:$M$112,{8},FALSE)+VLOOKUP(GIS!A131,GIS!$A$119:$M$137,{8},FALSE)+VLOOKUP(GIS!A181,GIS!$A$169:$M$187,{8},FALSE)+VLOOKUP(GIS!A206,GIS!$A$194:$M$212,{8},FALSE))</f>
        <v>424099.23578220338</v>
      </c>
      <c r="C53" s="176">
        <f t="array" ref="C53">SUM(VLOOKUP(GIS!A231,GIS!$A$219:$M$237,{8},FALSE)+VLOOKUP(GIS!A257,GIS!$A$245:$M$263,{8},FALSE)+VLOOKUP(GIS!A283,GIS!$A$271:$M$289,{8},FALSE))</f>
        <v>0</v>
      </c>
      <c r="D53" s="176">
        <f t="array" ref="D53">SUM(VLOOKUP(GIS!A81,GIS!$A$69:$M$87,{9},FALSE)+VLOOKUP(GIS!A106,GIS!$A$94:$M$112,{9},FALSE)+VLOOKUP(GIS!A131,GIS!$A$119:$M$137,{9},FALSE)+VLOOKUP(GIS!A181,GIS!$A$169:$M$187,{9},FALSE)+VLOOKUP(GIS!A206,GIS!$A$194:$M$212,{9},FALSE))</f>
        <v>0</v>
      </c>
      <c r="E53" s="176">
        <f t="array" ref="E53">SUM(VLOOKUP(GIS!A156,GIS!$A$144:$M$162, {2,4,6,8,10,12}, FALSE))</f>
        <v>0</v>
      </c>
      <c r="G53" s="176"/>
      <c r="H53" s="176">
        <f t="shared" ref="H53:H59" si="1">B53+C53+D53-E53</f>
        <v>424099.23578220338</v>
      </c>
    </row>
    <row r="54" spans="1:8">
      <c r="A54" s="142" t="s">
        <v>2529</v>
      </c>
      <c r="B54" s="176">
        <f t="array" ref="B54">SUM(VLOOKUP(GIS!A80,GIS!$A$69:$M$87,{8},FALSE)+VLOOKUP(GIS!A105,GIS!$A$94:$M$112,{8},FALSE)+VLOOKUP(GIS!A130,GIS!$A$119:$M$137,{8},FALSE)+VLOOKUP(GIS!A180,GIS!$A$169:$M$187,{8},FALSE)+VLOOKUP(GIS!A205,GIS!$A$194:$M$212,{8},FALSE)+VLOOKUP(GIS!A85,GIS!$A$69:$M$87,{8},FALSE)+VLOOKUP(GIS!A110,GIS!$A$94:$M$112,{8},FALSE)+VLOOKUP(GIS!A135,GIS!$A$119:$M$137,{8},FALSE)+VLOOKUP(GIS!A185,GIS!$A$169:$M$187,{8},FALSE)+VLOOKUP(GIS!A210,GIS!$A$194:$M$212,{8},FALSE))*F54</f>
        <v>0</v>
      </c>
      <c r="C54" s="176">
        <f t="array" ref="C54">SUM(VLOOKUP(GIS!A230,GIS!$A$219:$M$237,{8},FALSE)+VLOOKUP(GIS!A256,GIS!$A$245:$M$263,{8},FALSE)+VLOOKUP(GIS!A282,GIS!$A$271:$M$289,{8},FALSE)+VLOOKUP(GIS!A235,GIS!$A$219:$M$237,{8},FALSE)+VLOOKUP(GIS!A261,GIS!$A$245:$M$263,{8},FALSE)+VLOOKUP(GIS!A287,GIS!$A$271:$M$289,{8},FALSE))*F54</f>
        <v>0</v>
      </c>
      <c r="D54" s="176">
        <f t="array" ref="D54">SUM(VLOOKUP(GIS!A80,GIS!$A$69:$M$87,{9},FALSE)+VLOOKUP(GIS!A105,GIS!$A$94:$M$112,{9},FALSE)+VLOOKUP(GIS!A130,GIS!$A$119:$M$137,{9},FALSE)+VLOOKUP(GIS!A180,GIS!$A$169:$M$187,{9},FALSE)+VLOOKUP(GIS!A205,GIS!$A$194:$M$212,{9},FALSE)+VLOOKUP(GIS!A85,GIS!$A$69:$M$87,{9},FALSE)+VLOOKUP(GIS!A110,GIS!$A$94:$M$112,{9},FALSE)+VLOOKUP(GIS!A135,GIS!$A$119:$M$137,{9},FALSE)+VLOOKUP(GIS!A185,GIS!$A$169:$M$187,{9},FALSE)+VLOOKUP(GIS!A210,GIS!$A$194:$M$212,{9},FALSE))*F54</f>
        <v>0</v>
      </c>
      <c r="E54" s="176">
        <f t="array" ref="E54">SUM(VLOOKUP(GIS!A155,GIS!$A$144:$M$162, {2,4,6,8,10,12}, FALSE)+VLOOKUP(GIS!A160,GIS!$A$144:$M$162, {2,4,6,8,10,12}, FALSE))*F54</f>
        <v>1080521.9662172925</v>
      </c>
      <c r="F54" s="119">
        <f>'EIA Form 923'!E$2440</f>
        <v>0.55000583702743788</v>
      </c>
      <c r="G54" s="176"/>
      <c r="H54" s="176">
        <f t="shared" si="1"/>
        <v>-1080521.9662172925</v>
      </c>
    </row>
    <row r="55" spans="1:8" ht="13">
      <c r="A55" s="140" t="s">
        <v>2296</v>
      </c>
      <c r="B55" s="176"/>
      <c r="C55" s="176"/>
      <c r="D55" s="176"/>
      <c r="E55" s="176"/>
      <c r="F55" s="119"/>
      <c r="G55" s="176"/>
      <c r="H55" s="176"/>
    </row>
    <row r="56" spans="1:8">
      <c r="A56" s="142" t="s">
        <v>388</v>
      </c>
      <c r="B56" s="176">
        <f t="array" ref="B56">SUM(VLOOKUP(GIS!A79,GIS!$A$69:$M$87,{8},FALSE)+VLOOKUP(GIS!A104,GIS!$A$94:$M$112,{8},FALSE)+VLOOKUP(GIS!A129,GIS!$A$119:$M$137,{8},FALSE)+VLOOKUP(GIS!A179,GIS!$A$169:$M$187,{8},FALSE)+VLOOKUP(GIS!A204,GIS!$A$194:$M$212,{8},FALSE))</f>
        <v>132568.41913203971</v>
      </c>
      <c r="C56" s="176">
        <f t="array" ref="C56">SUM(VLOOKUP(GIS!A229,GIS!$A$219:$M$237,{8},FALSE)+VLOOKUP(GIS!A255,GIS!$A$245:$M$263,{8},FALSE)+VLOOKUP(GIS!A281,GIS!$A$271:$M$289,{8},FALSE))</f>
        <v>423317.31164018012</v>
      </c>
      <c r="D56" s="176">
        <f t="array" ref="D56">SUM(VLOOKUP(GIS!A79,GIS!$A$69:$M$87,{9},FALSE)+VLOOKUP(GIS!A104,GIS!$A$94:$M$112,{9},FALSE)+VLOOKUP(GIS!A129,GIS!$A$119:$M$137,{9},FALSE)+VLOOKUP(GIS!A179,GIS!$A$169:$M$187,{9},FALSE)+VLOOKUP(GIS!A204,GIS!$A$194:$M$212,{9},FALSE))</f>
        <v>5361.1617245496982</v>
      </c>
      <c r="E56" s="176">
        <f t="array" ref="E56">SUM(VLOOKUP(GIS!A154,GIS!$A$144:$M$162, {2,4,6,8,10,12}, FALSE))</f>
        <v>1188532.079562743</v>
      </c>
      <c r="F56" s="119"/>
      <c r="G56" s="176"/>
      <c r="H56" s="176">
        <f t="shared" si="1"/>
        <v>-627285.18706597341</v>
      </c>
    </row>
    <row r="57" spans="1:8">
      <c r="A57" s="142" t="s">
        <v>2530</v>
      </c>
      <c r="B57" s="176">
        <f t="array" ref="B57">SUM(VLOOKUP(GIS!A80,GIS!$A$69:$M$87,{8},FALSE)+VLOOKUP(GIS!A105,GIS!$A$94:$M$112,{8},FALSE)+VLOOKUP(GIS!A130,GIS!$A$119:$M$137,{8},FALSE)+VLOOKUP(GIS!A180,GIS!$A$169:$M$187,{8},FALSE)+VLOOKUP(GIS!A205,GIS!$A$194:$M$212,{8},FALSE)+VLOOKUP(GIS!A85,GIS!$A$69:$M$87,{8},FALSE)+VLOOKUP(GIS!A110,GIS!$A$94:$M$112,{8},FALSE)+VLOOKUP(GIS!A135,GIS!$A$119:$M$137,{8},FALSE)+VLOOKUP(GIS!A185,GIS!$A$169:$M$187,{8},FALSE)+VLOOKUP(GIS!A210,GIS!$A$194:$M$212,{8},FALSE))*F57</f>
        <v>0</v>
      </c>
      <c r="C57" s="176">
        <f t="array" ref="C57">SUM(VLOOKUP(GIS!A230,GIS!$A$219:$M$237,{8},FALSE)+VLOOKUP(GIS!A256,GIS!$A$245:$M$263,{8},FALSE)+VLOOKUP(GIS!A282,GIS!$A$271:$M$289,{8},FALSE)+VLOOKUP(GIS!A235,GIS!$A$219:$M$237,{8},FALSE)+VLOOKUP(GIS!A261,GIS!$A$245:$M$263,{8},FALSE)+VLOOKUP(GIS!A287,GIS!$A$271:$M$289,{8},FALSE))*F57</f>
        <v>0</v>
      </c>
      <c r="D57" s="176">
        <f t="array" ref="D57">SUM(VLOOKUP(GIS!A80,GIS!$A$69:$M$87,{9},FALSE)+VLOOKUP(GIS!A105,GIS!$A$94:$M$112,{9},FALSE)+VLOOKUP(GIS!A130,GIS!$A$119:$M$137,{9},FALSE)+VLOOKUP(GIS!A180,GIS!$A$169:$M$187,{9},FALSE)+VLOOKUP(GIS!A205,GIS!$A$194:$M$212,{9},FALSE)+VLOOKUP(GIS!A85,GIS!$A$69:$M$87,{9},FALSE)+VLOOKUP(GIS!A110,GIS!$A$94:$M$112,{9},FALSE)+VLOOKUP(GIS!A135,GIS!$A$119:$M$137,{9},FALSE)+VLOOKUP(GIS!A185,GIS!$A$169:$M$187,{9},FALSE)+VLOOKUP(GIS!A210,GIS!$A$194:$M$212,{9},FALSE))*F57</f>
        <v>0</v>
      </c>
      <c r="E57" s="176">
        <f t="array" ref="E57">SUM(VLOOKUP(GIS!A155,GIS!$A$144:$M$162, {2,4,6,8,10,12}, FALSE)+VLOOKUP(GIS!A160,GIS!$A$144:$M$162, {2,4,6,8,10,12}, FALSE))*F57</f>
        <v>884042.57741933991</v>
      </c>
      <c r="F57" s="119">
        <f>1-F54</f>
        <v>0.44999416297256212</v>
      </c>
      <c r="G57" s="176"/>
      <c r="H57" s="176">
        <f t="shared" si="1"/>
        <v>-884042.57741933991</v>
      </c>
    </row>
    <row r="58" spans="1:8">
      <c r="A58" s="142" t="s">
        <v>2531</v>
      </c>
      <c r="B58" s="176">
        <f t="array" ref="B58">SUM(VLOOKUP(GIS!A70,GIS!$A$69:$M$87,{8},FALSE)+VLOOKUP(GIS!A95,GIS!$A$94:$M$112,{8},FALSE)+VLOOKUP(GIS!A120,GIS!$A$119:$M$137,{8},FALSE)+VLOOKUP(GIS!A170,GIS!$A$169:$M$187,{8},FALSE)+VLOOKUP(GIS!A195,GIS!$A$194:$M$212,{8},FALSE)+VLOOKUP(GIS!A87,GIS!$A$69:$M$87,{8},FALSE)+VLOOKUP(GIS!A112,GIS!$A$94:$M$112,{8},FALSE)+VLOOKUP(GIS!A137,GIS!$A$119:$M$137,{8},FALSE)+VLOOKUP(GIS!A187,GIS!$A$169:$M$187,{8},FALSE)+VLOOKUP(GIS!A212,GIS!$A$194:$M$212,{8},FALSE))</f>
        <v>30159.939078682139</v>
      </c>
      <c r="C58" s="176">
        <f t="array" ref="C58">SUM(VLOOKUP(GIS!A220,GIS!$A$219:$M$237,{8},FALSE)+VLOOKUP(GIS!A246,GIS!$A$245:$M$263,{8},FALSE)+VLOOKUP(GIS!A272,GIS!$A$271:$M$289,{8},FALSE)+VLOOKUP(GIS!A237,GIS!$A$219:$M$237,{8},FALSE)+VLOOKUP(GIS!A263,GIS!$A$245:$M$263,{8},FALSE)+VLOOKUP(GIS!A289,GIS!$A$271:$M$289,{8},FALSE))</f>
        <v>0</v>
      </c>
      <c r="D58" s="176">
        <f t="array" ref="D58">SUM(VLOOKUP(GIS!A70,GIS!$A$69:$M$87,{9},FALSE)+VLOOKUP(GIS!A95,GIS!$A$94:$M$112,{9},FALSE)+VLOOKUP(GIS!A120,GIS!$A$119:$M$137,{9},FALSE)+VLOOKUP(GIS!A170,GIS!$A$169:$M$187,{9},FALSE)+VLOOKUP(GIS!A195,GIS!$A$194:$M$212,{9},FALSE)+VLOOKUP(GIS!A87,GIS!$A$69:$M$87,{9},FALSE)+VLOOKUP(GIS!A112,GIS!$A$94:$M$112,{9},FALSE)+VLOOKUP(GIS!A137,GIS!$A$119:$M$137,{9},FALSE)+VLOOKUP(GIS!A187,GIS!$A$169:$M$187,{9},FALSE)+VLOOKUP(GIS!A212,GIS!$A$194:$M$212,{9},FALSE))</f>
        <v>0</v>
      </c>
      <c r="E58" s="176">
        <f t="array" ref="E58">SUM(VLOOKUP(GIS!A145,GIS!$A$144:$M$162, {2,4,6,8,10,12}, FALSE)+VLOOKUP(GIS!A162,GIS!$A$144:$M$162, {2,4,6,8,10,12}, FALSE))</f>
        <v>4622208.6790582016</v>
      </c>
      <c r="G58" s="176"/>
      <c r="H58" s="176">
        <f t="shared" si="1"/>
        <v>-4592048.7399795195</v>
      </c>
    </row>
    <row r="59" spans="1:8">
      <c r="A59" s="142" t="s">
        <v>2287</v>
      </c>
      <c r="B59" s="176">
        <f t="array" ref="B59">SUM(VLOOKUP(GIS!A69,GIS!$A$69:$M$87,{8},FALSE)+VLOOKUP(GIS!A94,GIS!$A$94:$M$112,{8},FALSE)+VLOOKUP(GIS!A119,GIS!$A$119:$M$137,{8},FALSE)+VLOOKUP(GIS!A169,GIS!$A$169:$M$187,{8},FALSE)+VLOOKUP(GIS!A194,GIS!$A$194:$M$212,{8},FALSE)+VLOOKUP(GIS!A73,GIS!$A$69:$M$87,{8},FALSE)+VLOOKUP(GIS!A98,GIS!$A$94:$M$112,{8},FALSE)+VLOOKUP(GIS!A123,GIS!$A$119:$M$137,{8},FALSE)+VLOOKUP(GIS!A173,GIS!$A$169:$M$187,{8},FALSE)+VLOOKUP(GIS!A198,GIS!$A$194:$M$212,{8},FALSE))</f>
        <v>0</v>
      </c>
      <c r="C59" s="176">
        <f t="array" ref="C59">SUM(VLOOKUP(GIS!A219,GIS!$A$219:$M$237,{8},FALSE)+VLOOKUP(GIS!A245,GIS!$A$245:$M$263,{8},FALSE)+VLOOKUP(GIS!A271,GIS!$A$271:$M$289,{8},FALSE)+VLOOKUP(GIS!A223,GIS!$A$219:$M$237,{8},FALSE)+VLOOKUP(GIS!A249,GIS!$A$245:$M$263,{8},FALSE)+VLOOKUP(GIS!A275,GIS!$A$271:$M$289,{8},FALSE))</f>
        <v>0</v>
      </c>
      <c r="D59" s="176">
        <f t="array" ref="D59">SUM(VLOOKUP(GIS!A69,GIS!$A$69:$M$87,{9},FALSE)+VLOOKUP(GIS!A94,GIS!$A$94:$M$112,{9},FALSE)+VLOOKUP(GIS!A119,GIS!$A$119:$M$137,{9},FALSE)+VLOOKUP(GIS!A169,GIS!$A$169:$M$187,{9},FALSE)+VLOOKUP(GIS!A194,GIS!$A$194:$M$212,{9},FALSE)+VLOOKUP(GIS!A73,GIS!$A$69:$M$87,{9},FALSE)+VLOOKUP(GIS!A98,GIS!$A$94:$M$112,{9},FALSE)+VLOOKUP(GIS!A123,GIS!$A$119:$M$137,{9},FALSE)+VLOOKUP(GIS!A173,GIS!$A$169:$M$187,{9},FALSE)+VLOOKUP(GIS!A198,GIS!$A$194:$M$212,{9},FALSE))</f>
        <v>48920.013708166887</v>
      </c>
      <c r="E59" s="176">
        <f t="array" ref="E59">SUM(VLOOKUP(GIS!A144,GIS!$A$144:$M$162, {2,4,6,8,10,12}, FALSE)+VLOOKUP(GIS!A148,GIS!$A$144:$M$162, {2,4,6,8,10,12}, FALSE))</f>
        <v>0</v>
      </c>
      <c r="G59" s="176"/>
      <c r="H59" s="176">
        <f t="shared" si="1"/>
        <v>48920.013708166887</v>
      </c>
    </row>
    <row r="61" spans="1:8" ht="13">
      <c r="A61" s="40" t="s">
        <v>2300</v>
      </c>
    </row>
    <row r="62" spans="1:8" ht="39">
      <c r="A62" s="140" t="s">
        <v>2294</v>
      </c>
      <c r="B62" s="162" t="s">
        <v>2555</v>
      </c>
      <c r="C62" s="162" t="s">
        <v>2557</v>
      </c>
      <c r="D62" s="162" t="s">
        <v>2556</v>
      </c>
      <c r="E62" s="162" t="s">
        <v>2558</v>
      </c>
      <c r="F62" s="162" t="s">
        <v>2532</v>
      </c>
      <c r="G62" s="162" t="s">
        <v>2563</v>
      </c>
      <c r="H62" s="162" t="s">
        <v>2560</v>
      </c>
    </row>
    <row r="63" spans="1:8" ht="13">
      <c r="A63" s="40" t="s">
        <v>2295</v>
      </c>
      <c r="H63" s="176"/>
    </row>
    <row r="64" spans="1:8">
      <c r="A64" s="142" t="s">
        <v>2534</v>
      </c>
      <c r="B64" s="176">
        <f t="array" ref="B64">SUM(VLOOKUP(GIS!A72,GIS!$A$69:$M$87,{10},FALSE)+VLOOKUP(GIS!A97,GIS!$A$94:$M$112,{10},FALSE)+VLOOKUP(GIS!A122,GIS!$A$119:$M$137,{10},FALSE)+VLOOKUP(GIS!A147,GIS!$A$144:$M$162,{10},FALSE)+VLOOKUP(GIS!A197,GIS!$A$194:$M$212,{10},FALSE)+VLOOKUP(GIS!A83,GIS!$A$69:$M$87,{10},FALSE)+VLOOKUP(GIS!A108,GIS!$A$94:$M$112,{10},FALSE)+VLOOKUP(GIS!A133,GIS!$A$119:$M$137,{10},FALSE)+VLOOKUP(GIS!A158,GIS!$A$144:$M$162,{10},FALSE)+VLOOKUP(GIS!A208,GIS!$A$194:$M$212,{10},FALSE))</f>
        <v>0</v>
      </c>
      <c r="C64" s="176">
        <f t="array" ref="C64">SUM(VLOOKUP(GIS!A222,GIS!$A$219:$M$237,{10},FALSE)+VLOOKUP(GIS!A248,GIS!$A$245:$M$263,{10},FALSE)+VLOOKUP(GIS!A274,GIS!$A$271:$M$289,{10},FALSE)+VLOOKUP(GIS!A233,GIS!$A$219:$M$237,{10},FALSE)+VLOOKUP(GIS!A259,GIS!$A$245:$M$263,{10},FALSE)+VLOOKUP(GIS!A285,GIS!$A$271:$M$289,{10},FALSE))</f>
        <v>0</v>
      </c>
      <c r="D64" s="176">
        <f t="array" ref="D64">SUM(VLOOKUP(GIS!A72,GIS!$A$69:$M$87,{11},FALSE)+VLOOKUP(GIS!A97,GIS!$A$94:$M$112,{11},FALSE)+VLOOKUP(GIS!A122,GIS!$A$119:$M$137,{11},FALSE)+VLOOKUP(GIS!A147,GIS!$A$144:$M$162,{11},FALSE)+VLOOKUP(GIS!A197,GIS!$A$194:$M$212,{11},FALSE)+VLOOKUP(GIS!A83,GIS!$A$69:$M$87,{11},FALSE)+VLOOKUP(GIS!A108,GIS!$A$94:$M$112,{11},FALSE)+VLOOKUP(GIS!A133,GIS!$A$119:$M$137,{11},FALSE)+VLOOKUP(GIS!A158,GIS!$A$144:$M$162,{11},FALSE)+VLOOKUP(GIS!A208,GIS!$A$194:$M$212,{11},FALSE))</f>
        <v>0</v>
      </c>
      <c r="E64" s="176">
        <f t="array" ref="E64">SUM(VLOOKUP(GIS!A172,GIS!$A$169:$M$187, {2,4,6,8,10,12}, FALSE)+VLOOKUP(GIS!A183,GIS!$A$169:$M$187, {2,4,6,8,10,12}, FALSE))</f>
        <v>0</v>
      </c>
      <c r="F64" s="562"/>
      <c r="G64" s="176"/>
      <c r="H64" s="176">
        <f>B64+C64+D64-E64</f>
        <v>0</v>
      </c>
    </row>
    <row r="65" spans="1:8">
      <c r="A65" s="142" t="s">
        <v>380</v>
      </c>
      <c r="B65" s="176">
        <f t="array" ref="B65">SUM(VLOOKUP(GIS!A81,GIS!$A$69:$M$87,{10},FALSE)+VLOOKUP(GIS!A106,GIS!$A$94:$M$112,{10},FALSE)+VLOOKUP(GIS!A131,GIS!$A$119:$M$137,{10},FALSE)+VLOOKUP(GIS!A156,GIS!$A$144:$M$162,{10},FALSE)+VLOOKUP(GIS!A206,GIS!$A$194:$M$212,{10},FALSE))</f>
        <v>0</v>
      </c>
      <c r="C65" s="176">
        <f t="array" ref="C65">SUM(VLOOKUP(GIS!A231,GIS!$A$219:$M$237,{10},FALSE)+VLOOKUP(GIS!A257,GIS!$A$245:$M$263,{10},FALSE)+VLOOKUP(GIS!A283,GIS!$A$271:$M$289,{10},FALSE))</f>
        <v>0</v>
      </c>
      <c r="D65" s="176">
        <f t="array" ref="D65">SUM(VLOOKUP(GIS!A81,GIS!$A$69:$M$87,{11},FALSE)+VLOOKUP(GIS!A106,GIS!$A$94:$M$112,{11},FALSE)+VLOOKUP(GIS!A131,GIS!$A$119:$M$137,{11},FALSE)+VLOOKUP(GIS!A156,GIS!$A$144:$M$162,{11},FALSE)+VLOOKUP(GIS!A206,GIS!$A$194:$M$212,{11},FALSE))</f>
        <v>0</v>
      </c>
      <c r="E65" s="176">
        <f t="array" ref="E65">SUM(VLOOKUP(GIS!A181,GIS!$A$169:$M$187, {2,4,6,8,10,12}, FALSE))</f>
        <v>0</v>
      </c>
      <c r="G65" s="176"/>
      <c r="H65" s="176">
        <f>B65+C65+D65-E65</f>
        <v>0</v>
      </c>
    </row>
    <row r="66" spans="1:8">
      <c r="A66" s="142" t="s">
        <v>2529</v>
      </c>
      <c r="B66" s="176">
        <f t="array" ref="B66">SUM(VLOOKUP(GIS!A80,GIS!$A$69:$M$87,{10},FALSE)+VLOOKUP(GIS!A105,GIS!$A$94:$M$112,{10},FALSE)+VLOOKUP(GIS!A130,GIS!$A$119:$M$137,{10},FALSE)+VLOOKUP(GIS!A155,GIS!$A$144:$M$162,{10},FALSE)+VLOOKUP(GIS!A205,GIS!$A$194:$M$212,{10},FALSE)+VLOOKUP(GIS!A85,GIS!$A$69:$M$87,{10},FALSE)+VLOOKUP(GIS!A110,GIS!$A$94:$M$112,{10},FALSE)+VLOOKUP(GIS!A135,GIS!$A$119:$M$137,{10},FALSE)+VLOOKUP(GIS!A160,GIS!$A$144:$M$162,{10},FALSE)+VLOOKUP(GIS!A210,GIS!$A$194:$M$212,{10},FALSE))*F66</f>
        <v>0</v>
      </c>
      <c r="C66" s="176">
        <f t="array" ref="C66">SUM(VLOOKUP(GIS!A230,GIS!$A$219:$M$237,{10},FALSE)+VLOOKUP(GIS!A256,GIS!$A$245:$M$263,{10},FALSE)+VLOOKUP(GIS!A288,GIS!$A$271:$M$289,{10},FALSE)+VLOOKUP(GIS!A235,GIS!$A$219:$M$237,{10},FALSE)+VLOOKUP(GIS!A261,GIS!$A$245:$M$263,{10},FALSE)+VLOOKUP(GIS!A287,GIS!$A$271:$M$289,{10},FALSE))*F66</f>
        <v>0</v>
      </c>
      <c r="D66" s="176">
        <f t="array" ref="D66">SUM(VLOOKUP(GIS!A80,GIS!$A$69:$M$87,{11},FALSE)+VLOOKUP(GIS!A105,GIS!$A$94:$M$112,{11},FALSE)+VLOOKUP(GIS!A130,GIS!$A$119:$M$137,{11},FALSE)+VLOOKUP(GIS!A155,GIS!$A$144:$M$162,{11},FALSE)+VLOOKUP(GIS!A205,GIS!$A$194:$M$212,{11},FALSE)+VLOOKUP(GIS!A85,GIS!$A$69:$M$87,{11},FALSE)+VLOOKUP(GIS!A110,GIS!$A$94:$M$112,{11},FALSE)+VLOOKUP(GIS!A135,GIS!$A$119:$M$137,{11},FALSE)+VLOOKUP(GIS!A160,GIS!$A$144:$M$162,{11},FALSE)+VLOOKUP(GIS!A210,GIS!$A$194:$M$212,{11},FALSE))*F66</f>
        <v>0</v>
      </c>
      <c r="E66" s="176">
        <f t="array" ref="E66">SUM(VLOOKUP(GIS!A180,GIS!$A$169:$M$187, {2,4,6,8,10,12}, FALSE)+VLOOKUP(GIS!A185,GIS!$A$169:$M$187, {2,4,6,8,10,12}, FALSE))*F66</f>
        <v>0</v>
      </c>
      <c r="F66" s="119">
        <f>'EIA Form 923'!E$2440</f>
        <v>0.55000583702743788</v>
      </c>
      <c r="G66" s="176"/>
      <c r="H66" s="176">
        <f t="shared" ref="H66:H71" si="2">B66+C66+D66-E66</f>
        <v>0</v>
      </c>
    </row>
    <row r="67" spans="1:8" ht="13">
      <c r="A67" s="140" t="s">
        <v>2296</v>
      </c>
      <c r="B67" s="176"/>
      <c r="C67" s="176"/>
      <c r="D67" s="176"/>
      <c r="E67" s="176"/>
      <c r="F67" s="119"/>
      <c r="G67" s="176"/>
      <c r="H67" s="176"/>
    </row>
    <row r="68" spans="1:8">
      <c r="A68" s="142" t="s">
        <v>388</v>
      </c>
      <c r="B68" s="176">
        <f t="array" ref="B68">SUM(VLOOKUP(GIS!A79,GIS!$A$69:$M$87,{10},FALSE)+VLOOKUP(GIS!A104,GIS!$A$94:$M$112,{10},FALSE)+VLOOKUP(GIS!A129,GIS!$A$119:$M$137,{10},FALSE)+VLOOKUP(GIS!A154,GIS!$A$144:$M$162,{10},FALSE)+VLOOKUP(GIS!A204,GIS!$A$194:$M$212,{10},FALSE))</f>
        <v>56587.062002622064</v>
      </c>
      <c r="C68" s="176">
        <f t="array" ref="C68">SUM(VLOOKUP(GIS!A229,GIS!$A$219:$M$237,{10},FALSE)+VLOOKUP(GIS!A255,GIS!$A$245:$M$263,{10},FALSE)+VLOOKUP(GIS!A281,GIS!$A$271:$M$289,{10},FALSE))</f>
        <v>555101.556599034</v>
      </c>
      <c r="D68" s="176">
        <f t="array" ref="D68">SUM(VLOOKUP(GIS!A79,GIS!$A$69:$M$87,{11},FALSE)+VLOOKUP(GIS!A104,GIS!$A$94:$M$112,{11},FALSE)+VLOOKUP(GIS!A129,GIS!$A$119:$M$137,{11},FALSE)+VLOOKUP(GIS!A154,GIS!$A$144:$M$162,{11},FALSE)+VLOOKUP(GIS!A204,GIS!$A$194:$M$212,{11},FALSE))</f>
        <v>0</v>
      </c>
      <c r="E68" s="176">
        <f t="array" ref="E68">SUM(VLOOKUP(GIS!A179,GIS!$A$169:$M$187, {2,4,6,8,10,12}, FALSE))</f>
        <v>288931.50727529975</v>
      </c>
      <c r="F68" s="119"/>
      <c r="G68" s="176"/>
      <c r="H68" s="176">
        <f t="shared" si="2"/>
        <v>322757.1113263563</v>
      </c>
    </row>
    <row r="69" spans="1:8">
      <c r="A69" s="142" t="s">
        <v>2530</v>
      </c>
      <c r="B69" s="176">
        <f t="array" ref="B69">SUM(VLOOKUP(GIS!A80,GIS!$A$69:$M$87,{10},FALSE)+VLOOKUP(GIS!A105,GIS!$A$94:$M$112,{10},FALSE)+VLOOKUP(GIS!A130,GIS!$A$119:$M$137,{10},FALSE)+VLOOKUP(GIS!A155,GIS!$A$144:$M$162,{10},FALSE)+VLOOKUP(GIS!A205,GIS!$A$194:$M$212,{10},FALSE)+VLOOKUP(GIS!A85,GIS!$A$69:$M$87,{10},FALSE)+VLOOKUP(GIS!A110,GIS!$A$94:$M$112,{10},FALSE)+VLOOKUP(GIS!A135,GIS!$A$119:$M$137,{10},FALSE)+VLOOKUP(GIS!A160,GIS!$A$144:$M$162,{10},FALSE)+VLOOKUP(GIS!A210,GIS!$A$194:$M$212,{10},FALSE))*F69</f>
        <v>0</v>
      </c>
      <c r="C69" s="176">
        <f t="array" ref="C69">SUM(VLOOKUP(GIS!A230,GIS!$A$219:$M$237,{10},FALSE)+VLOOKUP(GIS!A256,GIS!$A$245:$M$263,{10},FALSE)+VLOOKUP(GIS!A282,GIS!$A$271:$M$289,{10},FALSE)+VLOOKUP(GIS!A235,GIS!$A$219:$M$237,{10},FALSE)+VLOOKUP(GIS!A261,GIS!$A$245:$M$263,{10},FALSE)+VLOOKUP(GIS!A287,GIS!$A$271:$M$289,{10},FALSE))*F69</f>
        <v>0</v>
      </c>
      <c r="D69" s="176">
        <f t="array" ref="D69">SUM(VLOOKUP(GIS!A80,GIS!$A$69:$M$87,{11},FALSE)+VLOOKUP(GIS!A105,GIS!$A$94:$M$112,{11},FALSE)+VLOOKUP(GIS!A130,GIS!$A$119:$M$137,{11},FALSE)+VLOOKUP(GIS!A155,GIS!$A$144:$M$162,{11},FALSE)+VLOOKUP(GIS!A205,GIS!$A$194:$M$212,{11},FALSE)+VLOOKUP(GIS!A85,GIS!$A$69:$M$87,{11},FALSE)+VLOOKUP(GIS!A110,GIS!$A$94:$M$112,{11},FALSE)+VLOOKUP(GIS!A135,GIS!$A$119:$M$137,{11},FALSE)+VLOOKUP(GIS!A160,GIS!$A$144:$M$162,{11},FALSE)+VLOOKUP(GIS!A210,GIS!$A$194:$M$212,{11},FALSE))*F69</f>
        <v>0</v>
      </c>
      <c r="E69" s="176">
        <f t="array" ref="E69">SUM(VLOOKUP(GIS!A180,GIS!$A$169:$M$187, {2,4,6,8,10,12}, FALSE)+VLOOKUP(GIS!A185,GIS!$A$169:$M$187, {2,4,6,8,10,12}, FALSE))*F69</f>
        <v>0</v>
      </c>
      <c r="F69" s="119">
        <f>1-F66</f>
        <v>0.44999416297256212</v>
      </c>
      <c r="G69" s="176"/>
      <c r="H69" s="176">
        <f t="shared" si="2"/>
        <v>0</v>
      </c>
    </row>
    <row r="70" spans="1:8">
      <c r="A70" s="142" t="s">
        <v>2531</v>
      </c>
      <c r="B70" s="176">
        <f t="array" ref="B70">SUM(VLOOKUP(GIS!A70,GIS!$A$69:$M$87,{10},FALSE)+VLOOKUP(GIS!A95,GIS!$A$94:$M$112,{10},FALSE)+VLOOKUP(GIS!A120,GIS!$A$119:$M$137,{10},FALSE)+VLOOKUP(GIS!A145,GIS!$A$144:$M$162,{10},FALSE)+VLOOKUP(GIS!A195,GIS!$A$194:$M$212,{10},FALSE)+VLOOKUP(GIS!A87,GIS!$A$69:$M$87,{10},FALSE)+VLOOKUP(GIS!A112,GIS!$A$94:$M$112,{10},FALSE)+VLOOKUP(GIS!A137,GIS!$A$119:$M$137,{10},FALSE)+VLOOKUP(GIS!A162,GIS!$A$144:$M$162,{10},FALSE)+VLOOKUP(GIS!A212,GIS!$A$194:$M$212,{10},FALSE))</f>
        <v>2387341.0666794153</v>
      </c>
      <c r="C70" s="176">
        <f t="array" ref="C70">SUM(VLOOKUP(GIS!A220,GIS!$A$219:$M$237,{10},FALSE)+VLOOKUP(GIS!A246,GIS!$A$245:$M$263,{10},FALSE)+VLOOKUP(GIS!A272,GIS!$A$271:$M$289,{10},FALSE)+VLOOKUP(GIS!A237,GIS!$A$219:$M$237,{10},FALSE)+VLOOKUP(GIS!A263,GIS!$A$245:$M$263,{10},FALSE)+VLOOKUP(GIS!A289,GIS!$A$271:$M$289,{10},FALSE))</f>
        <v>0</v>
      </c>
      <c r="D70" s="176">
        <f t="array" ref="D70">SUM(VLOOKUP(GIS!A70,GIS!$A$69:$M$87,{11},FALSE)+VLOOKUP(GIS!A95,GIS!$A$94:$M$112,{11},FALSE)+VLOOKUP(GIS!A120,GIS!$A$119:$M$137,{11},FALSE)+VLOOKUP(GIS!A145,GIS!$A$144:$M$162,{11},FALSE)+VLOOKUP(GIS!A195,GIS!$A$194:$M$212,{11},FALSE)+VLOOKUP(GIS!A87,GIS!$A$69:$M$87,{11},FALSE)+VLOOKUP(GIS!A112,GIS!$A$94:$M$112,{11},FALSE)+VLOOKUP(GIS!A137,GIS!$A$119:$M$137,{11},FALSE)+VLOOKUP(GIS!A162,GIS!$A$144:$M$162,{11},FALSE)+VLOOKUP(GIS!A202,GIS!$A$194:$M$212,{11},FALSE))</f>
        <v>15483.496970027105</v>
      </c>
      <c r="E70" s="176">
        <f t="array" ref="E70">SUM(VLOOKUP(GIS!A170,GIS!$A$169:$M$187, {2,4,6,8,10,12}, FALSE)+VLOOKUP(GIS!A187,GIS!$A$169:$M$187, {2,4,6,8,10,12}, FALSE))</f>
        <v>0</v>
      </c>
      <c r="G70" s="176"/>
      <c r="H70" s="176">
        <f t="shared" si="2"/>
        <v>2402824.5636494425</v>
      </c>
    </row>
    <row r="71" spans="1:8">
      <c r="A71" s="142" t="s">
        <v>2287</v>
      </c>
      <c r="B71" s="176">
        <f t="array" ref="B71">SUM(VLOOKUP(GIS!A69,GIS!$A$69:$M$87,{10},FALSE)+VLOOKUP(GIS!A94,GIS!$A$94:$M$112,{10},FALSE)+VLOOKUP(GIS!A119,GIS!$A$119:$M$137,{10},FALSE)+VLOOKUP(GIS!A144,GIS!$A$144:$M$162,{10},FALSE)+VLOOKUP(GIS!A194,GIS!$A$194:$M$212,{10},FALSE)+VLOOKUP(GIS!A73,GIS!$A$69:$M$87,{10},FALSE)+VLOOKUP(GIS!A98,GIS!$A$94:$M$112,{10},FALSE)+VLOOKUP(GIS!A123,GIS!$A$119:$M$137,{10},FALSE)+VLOOKUP(GIS!A148,GIS!$A$144:$M$162,{10},FALSE)+VLOOKUP(GIS!A198,GIS!$A$194:$M$212,{10},FALSE))</f>
        <v>137244.45667000092</v>
      </c>
      <c r="C71" s="176">
        <f t="array" ref="C71">SUM(VLOOKUP(GIS!A219,GIS!$A$219:$M$237,{10},FALSE)+VLOOKUP(GIS!A245,GIS!$A$245:$M$263,{10},FALSE)+VLOOKUP(GIS!A271,GIS!$A$271:$M$289,{10},FALSE)+VLOOKUP(GIS!A223,GIS!$A$219:$M$237,{10},FALSE)+VLOOKUP(GIS!A249,GIS!$A$245:$M$263,{10},FALSE)+VLOOKUP(GIS!A275,GIS!$A$271:$M$289,{10},FALSE))</f>
        <v>0</v>
      </c>
      <c r="D71" s="176">
        <f t="array" ref="D71">SUM(VLOOKUP(GIS!A69,GIS!$A$69:$M$87,{11},FALSE)+VLOOKUP(GIS!A94,GIS!$A$94:$M$112,{11},FALSE)+VLOOKUP(GIS!A119,GIS!$A$119:$M$137,{11},FALSE)+VLOOKUP(GIS!A144,GIS!$A$144:$M$162,{11},FALSE)+VLOOKUP(GIS!A194,GIS!$A$194:$M$212,{11},FALSE)+VLOOKUP(GIS!A73,GIS!$A$69:$M$87,{11},FALSE)+VLOOKUP(GIS!A98,GIS!$A$94:$M$112,{11},FALSE)+VLOOKUP(GIS!A123,GIS!$A$119:$M$137,{11},FALSE)+VLOOKUP(GIS!A148,GIS!$A$144:$M$162,{11},FALSE)+VLOOKUP(GIS!A198,GIS!$A$194:$M$212,{11},FALSE))</f>
        <v>0</v>
      </c>
      <c r="E71" s="176">
        <f t="array" ref="E71">SUM(VLOOKUP(GIS!A169,GIS!$A$169:$M$187, {2,4,6,8,10,12}, FALSE)+VLOOKUP(GIS!A173,GIS!$A$169:$M$187, {2,4,6,8,10,12}, FALSE))</f>
        <v>0</v>
      </c>
      <c r="G71" s="176"/>
      <c r="H71" s="176">
        <f t="shared" si="2"/>
        <v>137244.45667000092</v>
      </c>
    </row>
    <row r="73" spans="1:8" ht="13">
      <c r="A73" s="40" t="s">
        <v>2301</v>
      </c>
    </row>
    <row r="74" spans="1:8" ht="39">
      <c r="A74" s="140" t="s">
        <v>2294</v>
      </c>
      <c r="B74" s="162" t="s">
        <v>2555</v>
      </c>
      <c r="C74" s="162" t="s">
        <v>2557</v>
      </c>
      <c r="D74" s="162" t="s">
        <v>2556</v>
      </c>
      <c r="E74" s="162" t="s">
        <v>2558</v>
      </c>
      <c r="F74" s="162" t="s">
        <v>2532</v>
      </c>
      <c r="G74" s="162" t="s">
        <v>2563</v>
      </c>
      <c r="H74" s="162" t="s">
        <v>2560</v>
      </c>
    </row>
    <row r="75" spans="1:8" ht="13">
      <c r="A75" s="40" t="s">
        <v>2295</v>
      </c>
      <c r="H75" s="176"/>
    </row>
    <row r="76" spans="1:8">
      <c r="A76" s="142" t="s">
        <v>2534</v>
      </c>
      <c r="B76" s="176">
        <f t="array" ref="B76">SUM(VLOOKUP(GIS!A72,GIS!$A$69:$M$87,{12},FALSE)+VLOOKUP(GIS!A97,GIS!$A$94:$M$112,{12},FALSE)+VLOOKUP(GIS!A122,GIS!$A$119:$M$137,{12},FALSE)+VLOOKUP(GIS!A147,GIS!$A$144:$M$162,{12},FALSE)+VLOOKUP(GIS!A172,GIS!$A$169:$M$187,{12},FALSE)+VLOOKUP(GIS!A83,GIS!$A$69:$M$87,{12},FALSE)+VLOOKUP(GIS!A108,GIS!$A$94:$M$112,{12},FALSE)+VLOOKUP(GIS!A133,GIS!$A$119:$M$137,{12},FALSE)+VLOOKUP(GIS!A158,GIS!$A$144:$M$162,{12},FALSE)+VLOOKUP(GIS!A183,GIS!$A$169:$M$187,{12},FALSE))</f>
        <v>0</v>
      </c>
      <c r="C76" s="176">
        <f t="array" ref="C76">SUM(VLOOKUP(GIS!A222,GIS!$A$219:$M$237,{12},FALSE)+VLOOKUP(GIS!A248,GIS!$A$245:$M$263,{12},FALSE)+VLOOKUP(GIS!A274,GIS!$A$271:$M$289,{12},FALSE)+VLOOKUP(GIS!A233,GIS!$A$219:$M$237,{12},FALSE)+VLOOKUP(GIS!A259,GIS!$A$245:$M$263,{12},FALSE)+VLOOKUP(GIS!A285,GIS!$A$271:$M$289,{12},FALSE))</f>
        <v>0</v>
      </c>
      <c r="D76" s="176">
        <f t="array" ref="D76">SUM(VLOOKUP(GIS!A72,GIS!$A$69:$M$87,{13},FALSE)+VLOOKUP(GIS!A97,GIS!$A$94:$M$112,{13},FALSE)+VLOOKUP(GIS!A122,GIS!$A$119:$M$137,{13},FALSE)+VLOOKUP(GIS!A147,GIS!$A$144:$M$162,{13},FALSE)+VLOOKUP(GIS!A172,GIS!$A$169:$M$187,{13},FALSE)+VLOOKUP(GIS!A83,GIS!$A$69:$M$87,{13},FALSE)+VLOOKUP(GIS!A108,GIS!$A$94:$M$112,{13},FALSE)+VLOOKUP(GIS!A133,GIS!$A$119:$M$137,{13},FALSE)+VLOOKUP(GIS!A158,GIS!$A$144:$M$162,{13},FALSE)+VLOOKUP(GIS!A183,GIS!$A$169:$M$187,{13},FALSE))</f>
        <v>0</v>
      </c>
      <c r="E76" s="176">
        <f t="array" ref="E76">SUM(VLOOKUP(GIS!A197,GIS!$A$194:$M$212, {2,4,6,8,10,12}, FALSE)+VLOOKUP(GIS!A208,GIS!$A$194:$M$212, {2,4,6,8,10,12}, FALSE))</f>
        <v>0</v>
      </c>
      <c r="F76" s="562"/>
      <c r="G76" s="176"/>
      <c r="H76" s="176">
        <f>B76+C76+D76-E76</f>
        <v>0</v>
      </c>
    </row>
    <row r="77" spans="1:8">
      <c r="A77" s="142" t="s">
        <v>380</v>
      </c>
      <c r="B77" s="176">
        <f t="array" ref="B77">SUM(VLOOKUP(GIS!A81,GIS!$A$69:$M$87,{12},FALSE)+VLOOKUP(GIS!A106,GIS!$A$94:$M$112,{12},FALSE)+VLOOKUP(GIS!A131,GIS!$A$119:$M$137,{12},FALSE)+VLOOKUP(GIS!A156,GIS!$A$144:$M$162,{12},FALSE)+VLOOKUP(GIS!A181,GIS!$A$169:$M$187,{12},FALSE))</f>
        <v>0</v>
      </c>
      <c r="C77" s="176">
        <f t="array" ref="C77">SUM(VLOOKUP(GIS!A231,GIS!$A$219:$M$237,{12},FALSE)+VLOOKUP(GIS!A257,GIS!$A$245:$M$263,{12},FALSE)+VLOOKUP(GIS!A283,GIS!$A$271:$M$289,{12},FALSE))</f>
        <v>0</v>
      </c>
      <c r="D77" s="176">
        <f t="array" ref="D77">SUM(VLOOKUP(GIS!A81,GIS!$A$69:$M$87,{13},FALSE)+VLOOKUP(GIS!A106,GIS!$A$94:$M$112,{13},FALSE)+VLOOKUP(GIS!A131,GIS!$A$119:$M$137,{13},FALSE)+VLOOKUP(GIS!A156,GIS!$A$144:$M$162,{13},FALSE)+VLOOKUP(GIS!A181,GIS!$A$169:$M$187,{13},FALSE))</f>
        <v>0</v>
      </c>
      <c r="E77" s="176">
        <f t="array" ref="E77">SUM(VLOOKUP(GIS!A206,GIS!$A$194:$M$212, {2,4,6,8,10,12}, FALSE))</f>
        <v>410196.97569100093</v>
      </c>
      <c r="G77" s="176"/>
      <c r="H77" s="176">
        <f>B77+C77+D77-E77</f>
        <v>-410196.97569100093</v>
      </c>
    </row>
    <row r="78" spans="1:8">
      <c r="A78" s="142" t="s">
        <v>2529</v>
      </c>
      <c r="B78" s="176">
        <f t="array" ref="B78">SUM(VLOOKUP(GIS!A80,GIS!$A$69:$M$87,{12},FALSE)+VLOOKUP(GIS!A105,GIS!$A$94:$M$112,{12},FALSE)+VLOOKUP(GIS!A130,GIS!$A$119:$M$137,{12},FALSE)+VLOOKUP(GIS!A155,GIS!$A$144:$M$162,{12},FALSE)+VLOOKUP(GIS!A180,GIS!$A$169:$M$187,{12},FALSE)+VLOOKUP(GIS!A85,GIS!$A$69:$M$87,{12},FALSE)+VLOOKUP(GIS!A110,GIS!$A$94:$M$112,{12},FALSE)+VLOOKUP(GIS!A135,GIS!$A$119:$M$137,{12},FALSE)+VLOOKUP(GIS!A160,GIS!$A$144:$M$162,{12},FALSE)+VLOOKUP(GIS!A185,GIS!$A$169:$M$187,{12},FALSE))*F78</f>
        <v>0</v>
      </c>
      <c r="C78" s="176">
        <f t="array" ref="C78">SUM(VLOOKUP(GIS!A230,GIS!$A$219:$M$237,{12},FALSE)+VLOOKUP(GIS!A256,GIS!$A$245:$M$263,{12},FALSE)+VLOOKUP(GIS!A282,GIS!$A$271:$M$289,{12},FALSE)+VLOOKUP(GIS!A235,GIS!$A$219:$M$237,{12},FALSE)+VLOOKUP(GIS!A261,GIS!$A$245:$M$263,{12},FALSE)+VLOOKUP(GIS!A287,GIS!$A$271:$M$289,{12},FALSE))*F78</f>
        <v>0</v>
      </c>
      <c r="D78" s="176">
        <f t="array" ref="D78">SUM(VLOOKUP(GIS!A80,GIS!$A$69:$M$87,{13},FALSE)+VLOOKUP(GIS!A105,GIS!$A$94:$M$112,{13},FALSE)+VLOOKUP(GIS!A130,GIS!$A$119:$M$137,{13},FALSE)+VLOOKUP(GIS!A155,GIS!$A$144:$M$162,{13},FALSE)+VLOOKUP(GIS!A180,GIS!$A$169:$M$187,{13},FALSE)+VLOOKUP(GIS!A85,GIS!$A$69:$M$87,{13},FALSE)+VLOOKUP(GIS!A110,GIS!$A$94:$M$112,{13},FALSE)+VLOOKUP(GIS!A135,GIS!$A$119:$M$137,{13},FALSE)+VLOOKUP(GIS!A160,GIS!$A$144:$M$162,{13},FALSE)+VLOOKUP(GIS!A185,GIS!$A$169:$M$187,{13},FALSE))*F78</f>
        <v>0</v>
      </c>
      <c r="E78" s="176">
        <f t="array" ref="E78">SUM(VLOOKUP(GIS!A205,GIS!$A$194:$M$212, {2,4,6,8,10,12}, FALSE)+VLOOKUP(GIS!A210,GIS!$A$194:$M$212, {2,4,6,8,10,12}, FALSE))*F78</f>
        <v>0</v>
      </c>
      <c r="F78" s="119">
        <f>'EIA Form 923'!E$2440</f>
        <v>0.55000583702743788</v>
      </c>
      <c r="G78" s="176"/>
      <c r="H78" s="176">
        <f t="shared" ref="H78:H83" si="3">B78+C78+D78-E78</f>
        <v>0</v>
      </c>
    </row>
    <row r="79" spans="1:8" ht="13">
      <c r="A79" s="140" t="s">
        <v>2296</v>
      </c>
      <c r="B79" s="176"/>
      <c r="C79" s="176"/>
      <c r="D79" s="176"/>
      <c r="E79" s="176"/>
      <c r="F79" s="119"/>
      <c r="G79" s="176"/>
      <c r="H79" s="176"/>
    </row>
    <row r="80" spans="1:8">
      <c r="A80" s="142" t="s">
        <v>388</v>
      </c>
      <c r="B80" s="176">
        <f t="array" ref="B80">SUM(VLOOKUP(GIS!A79,GIS!$A$69:$M$87,{12},FALSE)+VLOOKUP(GIS!A104,GIS!$A$94:$M$112,{12},FALSE)+VLOOKUP(GIS!A129,GIS!$A$119:$M$137,{12},FALSE)+VLOOKUP(GIS!A154,GIS!$A$144:$M$162,{12},FALSE)+VLOOKUP(GIS!A179,GIS!$A$169:$M$187,{12},FALSE))</f>
        <v>0</v>
      </c>
      <c r="C80" s="176">
        <f t="array" ref="C80">SUM(VLOOKUP(GIS!A229,GIS!$A$219:$M$237,{12},FALSE)+VLOOKUP(GIS!A255,GIS!$A$245:$M$263,{12},FALSE)+VLOOKUP(GIS!A281,GIS!$A$271:$M$289,{12},FALSE))</f>
        <v>0</v>
      </c>
      <c r="D80" s="176">
        <f t="array" ref="D80">SUM(VLOOKUP(GIS!A79,GIS!$A$69:$M$87,{13},FALSE)+VLOOKUP(GIS!A104,GIS!$A$94:$M$112,{13},FALSE)+VLOOKUP(GIS!A129,GIS!$A$119:$M$137,{13},FALSE)+VLOOKUP(GIS!A154,GIS!$A$144:$M$162,{13},FALSE)+VLOOKUP(GIS!A179,GIS!$A$169:$M$187,{13},FALSE))</f>
        <v>0</v>
      </c>
      <c r="E80" s="176">
        <f t="array" ref="E80">SUM(VLOOKUP(GIS!A204,GIS!$A$194:$M$212, {2,4,6,8,10,12}, FALSE))</f>
        <v>642805.34930133098</v>
      </c>
      <c r="F80" s="119"/>
      <c r="G80" s="176"/>
      <c r="H80" s="176">
        <f t="shared" si="3"/>
        <v>-642805.34930133098</v>
      </c>
    </row>
    <row r="81" spans="1:8">
      <c r="A81" s="142" t="s">
        <v>2530</v>
      </c>
      <c r="B81" s="176">
        <f t="array" ref="B81">SUM(VLOOKUP(GIS!A80,GIS!$A$69:$M$87,{12},FALSE)+VLOOKUP(GIS!A105,GIS!$A$94:$M$112,{12},FALSE)+VLOOKUP(GIS!A130,GIS!$A$119:$M$137,{12},FALSE)+VLOOKUP(GIS!A155,GIS!$A$144:$M$162,{12},FALSE)+VLOOKUP(GIS!A180,GIS!$A$169:$M$187,{12},FALSE)+VLOOKUP(GIS!A85,GIS!$A$69:$M$87,{12},FALSE)+VLOOKUP(GIS!A110,GIS!$A$94:$M$112,{12},FALSE)+VLOOKUP(GIS!A135,GIS!$A$119:$M$137,{12},FALSE)+VLOOKUP(GIS!A160,GIS!$A$144:$M$162,{12},FALSE)+VLOOKUP(GIS!A185,GIS!$A$169:$M$187,{12},FALSE))*F81</f>
        <v>0</v>
      </c>
      <c r="C81" s="176">
        <f t="array" ref="C81">SUM(VLOOKUP(GIS!A230,GIS!$A$219:$M$237,{12},FALSE)+VLOOKUP(GIS!A256,GIS!$A$245:$M$263,{12},FALSE)+VLOOKUP(GIS!A282,GIS!$A$271:$M$289,{12},FALSE)+VLOOKUP(GIS!A235,GIS!$A$219:$M$237,{12},FALSE)+VLOOKUP(GIS!A261,GIS!$A$245:$M$263,{12},FALSE)+VLOOKUP(GIS!A287,GIS!$A$271:$M$289,{12},FALSE))*F81</f>
        <v>0</v>
      </c>
      <c r="D81" s="176">
        <f t="array" ref="D81">SUM(VLOOKUP(GIS!A80,GIS!$A$69:$M$87,{13},FALSE)+VLOOKUP(GIS!A105,GIS!$A$94:$M$112,{13},FALSE)+VLOOKUP(GIS!A130,GIS!$A$119:$M$137,{13},FALSE)+VLOOKUP(GIS!A155,GIS!$A$144:$M$162,{13},FALSE)+VLOOKUP(GIS!A180,GIS!$A$169:$M$187,{13},FALSE)+VLOOKUP(GIS!A85,GIS!$A$69:$M$87,{13},FALSE)+VLOOKUP(GIS!A110,GIS!$A$94:$M$112,{13},FALSE)+VLOOKUP(GIS!A135,GIS!$A$119:$M$137,{13},FALSE)+VLOOKUP(GIS!A160,GIS!$A$144:$M$162,{13},FALSE)+VLOOKUP(GIS!A185,GIS!$A$169:$M$187,{13},FALSE))*F81</f>
        <v>0</v>
      </c>
      <c r="E81" s="176">
        <f t="array" ref="E81">SUM(VLOOKUP(GIS!A205,GIS!$A$194:$M$212, {2,4,6,8,10,12}, FALSE)+VLOOKUP(GIS!A210,GIS!$A$194:$M$212, {2,4,6,8,10,12}, FALSE))*F81</f>
        <v>0</v>
      </c>
      <c r="F81" s="119">
        <f>1-F78</f>
        <v>0.44999416297256212</v>
      </c>
      <c r="G81" s="176"/>
      <c r="H81" s="176">
        <f t="shared" si="3"/>
        <v>0</v>
      </c>
    </row>
    <row r="82" spans="1:8">
      <c r="A82" s="142" t="s">
        <v>2531</v>
      </c>
      <c r="B82" s="176">
        <f t="array" ref="B82">SUM(VLOOKUP(GIS!A70,GIS!$A$69:$M$87,{12},FALSE)+VLOOKUP(GIS!A95,GIS!$A$94:$M$112,{12},FALSE)+VLOOKUP(GIS!A120,GIS!$A$119:$M$137,{12},FALSE)+VLOOKUP(GIS!A145,GIS!$A$144:$M$162,{12},FALSE)+VLOOKUP(GIS!A170,GIS!$A$169:$M$187,{12},FALSE)+VLOOKUP(GIS!A87,GIS!$A$69:$M$87,{12},FALSE)+VLOOKUP(GIS!A112,GIS!$A$94:$M$112,{12},FALSE)+VLOOKUP(GIS!A137,GIS!$A$119:$M$137,{12},FALSE)+VLOOKUP(GIS!A162,GIS!$A$144:$M$162,{12},FALSE)+VLOOKUP(GIS!A187,GIS!$A$169:$M$187,{12},FALSE))</f>
        <v>0</v>
      </c>
      <c r="C82" s="176">
        <f t="array" ref="C82">SUM(VLOOKUP(GIS!A220,GIS!$A$219:$M$237,{12},FALSE)+VLOOKUP(GIS!A246,GIS!$A$245:$M$263,{12},FALSE)+VLOOKUP(GIS!A272,GIS!$A$271:$M$289,{12},FALSE)+VLOOKUP(GIS!A237,GIS!$A$219:$M$237,{12},FALSE)+VLOOKUP(GIS!A263,GIS!$A$245:$M$263,{12},FALSE)+VLOOKUP(GIS!A289,GIS!$A$271:$M$289,{12},FALSE))</f>
        <v>0</v>
      </c>
      <c r="D82" s="176">
        <f t="array" ref="D82">SUM(VLOOKUP(GIS!A70,GIS!$A$69:$M$87,{13},FALSE)+VLOOKUP(GIS!A95,GIS!$A$94:$M$112,{13},FALSE)+VLOOKUP(GIS!A120,GIS!$A$119:$M$137,{13},FALSE)+VLOOKUP(GIS!A145,GIS!$A$144:$M$162,{13},FALSE)+VLOOKUP(GIS!A170,GIS!$A$169:$M$187,{13},FALSE)+VLOOKUP(GIS!A87,GIS!$A$69:$M$87,{13},FALSE)+VLOOKUP(GIS!A112,GIS!$A$94:$M$112,{13},FALSE)+VLOOKUP(GIS!A137,GIS!$A$119:$M$137,{13},FALSE)+VLOOKUP(GIS!A162,GIS!$A$144:$M$162,{13},FALSE)+VLOOKUP(GIS!A187,GIS!$A$169:$M$187,{13},FALSE))</f>
        <v>0</v>
      </c>
      <c r="E82" s="176">
        <f t="array" ref="E82">SUM(VLOOKUP(GIS!A195,GIS!$A$194:$M$212, {2,4,6,8,10,12}, FALSE)+VLOOKUP(GIS!A212,GIS!$A$194:$M$212, {2,4,6,8,10,12}, FALSE))</f>
        <v>6083519.7631810745</v>
      </c>
      <c r="G82" s="176"/>
      <c r="H82" s="176">
        <f t="shared" si="3"/>
        <v>-6083519.7631810745</v>
      </c>
    </row>
    <row r="83" spans="1:8">
      <c r="A83" s="142" t="s">
        <v>2287</v>
      </c>
      <c r="B83" s="176">
        <f t="array" ref="B83">SUM(VLOOKUP(GIS!A69,GIS!$A$69:$M$87,{12},FALSE)+VLOOKUP(GIS!A94,GIS!$A$94:$M$112,{12},FALSE)+VLOOKUP(GIS!A119,GIS!$A$119:$M$137,{12},FALSE)+VLOOKUP(GIS!A144,GIS!$A$144:$M$162,{12},FALSE)+VLOOKUP(GIS!A169,GIS!$A$169:$M$187,{12},FALSE)+VLOOKUP(GIS!A73,GIS!$A$69:$M$87,{12},FALSE)+VLOOKUP(GIS!A98,GIS!$A$94:$M$112,{12},FALSE)+VLOOKUP(GIS!A123,GIS!$A$119:$M$137,{12},FALSE)+VLOOKUP(GIS!A148,GIS!$A$144:$M$162,{12},FALSE)+VLOOKUP(GIS!A173,GIS!$A$169:$M$187,{12},FALSE))</f>
        <v>0</v>
      </c>
      <c r="C83" s="176">
        <f t="array" ref="C83">SUM(VLOOKUP(GIS!A219,GIS!$A$219:$M$237,{12},FALSE)+VLOOKUP(GIS!A245,GIS!$A$245:$M$263,{12},FALSE)+VLOOKUP(GIS!A271,GIS!$A$271:$M$289,{12},FALSE)+VLOOKUP(GIS!A223,GIS!$A$219:$M$237,{12},FALSE)+VLOOKUP(GIS!A249,GIS!$A$245:$M$263,{12},FALSE)+VLOOKUP(GIS!A275,GIS!$A$271:$M$289,{12},FALSE))</f>
        <v>0</v>
      </c>
      <c r="D83" s="176">
        <f t="array" ref="D83">SUM(VLOOKUP(GIS!A69,GIS!$A$69:$M$87,{13},FALSE)+VLOOKUP(GIS!A94,GIS!$A$94:$M$112,{13},FALSE)+VLOOKUP(GIS!A119,GIS!$A$119:$M$137,{13},FALSE)+VLOOKUP(GIS!A144,GIS!$A$144:$M$162,{13},FALSE)+VLOOKUP(GIS!A169,GIS!$A$169:$M$187,{13},FALSE)+VLOOKUP(GIS!A73,GIS!$A$69:$M$87,{13},FALSE)+VLOOKUP(GIS!A98,GIS!$A$94:$M$112,{13},FALSE)+VLOOKUP(GIS!A123,GIS!$A$119:$M$137,{13},FALSE)+VLOOKUP(GIS!A148,GIS!$A$144:$M$162,{13},FALSE)+VLOOKUP(GIS!A173,GIS!$A$169:$M$187,{13},FALSE))</f>
        <v>0</v>
      </c>
      <c r="E83" s="176">
        <f t="array" ref="E83">SUM(VLOOKUP(GIS!A194,GIS!$A$194:$M$212, {2,4,6,8,10,12}, FALSE)+VLOOKUP(GIS!A198,GIS!$A$194:$M$212, {2,4,6,8,10,12}, FALSE))</f>
        <v>1228.072817384674</v>
      </c>
      <c r="G83" s="176"/>
      <c r="H83" s="176">
        <f t="shared" si="3"/>
        <v>-1228.072817384674</v>
      </c>
    </row>
    <row r="84" spans="1:8">
      <c r="C84" s="176"/>
    </row>
    <row r="85" spans="1:8" ht="13">
      <c r="A85" s="40" t="s">
        <v>2302</v>
      </c>
    </row>
    <row r="86" spans="1:8" ht="39">
      <c r="A86" s="140" t="s">
        <v>2294</v>
      </c>
      <c r="B86" s="162" t="s">
        <v>2540</v>
      </c>
      <c r="C86" s="162" t="s">
        <v>2541</v>
      </c>
      <c r="D86" s="141" t="s">
        <v>1315</v>
      </c>
      <c r="E86" s="162" t="s">
        <v>2561</v>
      </c>
      <c r="F86" s="162" t="s">
        <v>2532</v>
      </c>
      <c r="G86" s="162" t="s">
        <v>2563</v>
      </c>
      <c r="H86" s="162" t="s">
        <v>2560</v>
      </c>
    </row>
    <row r="87" spans="1:8" ht="13">
      <c r="A87" s="40" t="s">
        <v>2295</v>
      </c>
      <c r="E87" s="176"/>
    </row>
    <row r="88" spans="1:8">
      <c r="A88" s="142" t="s">
        <v>2534</v>
      </c>
      <c r="E88" s="176">
        <f t="array" ref="E88">SUM(VLOOKUP(GIS!A222,GIS!A219:M238, {2,4,6,8,10,12}, FALSE)+VLOOKUP(GIS!A233,GIS!A219:M238, {2,4,6,8,10,12}, FALSE))</f>
        <v>0</v>
      </c>
      <c r="H88" s="176">
        <f>B88+C88-E88</f>
        <v>0</v>
      </c>
    </row>
    <row r="89" spans="1:8">
      <c r="A89" s="142" t="s">
        <v>380</v>
      </c>
      <c r="E89" s="176">
        <f t="array" ref="E89">SUM(VLOOKUP(GIS!A231,GIS!A219:M238, {2,4,6,8,10,12}, FALSE))</f>
        <v>0</v>
      </c>
      <c r="H89" s="176">
        <f>B89-E89</f>
        <v>0</v>
      </c>
    </row>
    <row r="90" spans="1:8">
      <c r="A90" s="142" t="s">
        <v>2529</v>
      </c>
      <c r="E90" s="176">
        <f t="array" ref="E90">SUM(VLOOKUP(GIS!A230,GIS!A219:M238, {2,4,6,8,10,12}, FALSE)+VLOOKUP(GIS!A235,GIS!A219:M237, {2,4,6,8,10,12},FALSE))*F90</f>
        <v>0</v>
      </c>
      <c r="F90" s="119">
        <f t="array" ref="F90">'EIA Form 923'!E2440</f>
        <v>0.55000583702743788</v>
      </c>
      <c r="H90" s="176">
        <f t="shared" ref="H90:H95" si="4">B90-E90</f>
        <v>0</v>
      </c>
    </row>
    <row r="91" spans="1:8" ht="13">
      <c r="A91" s="140" t="s">
        <v>2296</v>
      </c>
      <c r="E91" s="176"/>
      <c r="F91" s="119"/>
      <c r="H91" s="176"/>
    </row>
    <row r="92" spans="1:8">
      <c r="A92" s="142" t="s">
        <v>388</v>
      </c>
      <c r="E92" s="176">
        <f t="array" ref="E92">SUM(VLOOKUP(GIS!A229,GIS!A219:M238, {2,4,6,8,10,12}, FALSE))</f>
        <v>6222942.2021161737</v>
      </c>
      <c r="F92" s="119"/>
      <c r="H92" s="176">
        <f t="shared" si="4"/>
        <v>-6222942.2021161737</v>
      </c>
    </row>
    <row r="93" spans="1:8">
      <c r="A93" s="142" t="s">
        <v>2530</v>
      </c>
      <c r="E93" s="176">
        <f t="array" ref="E93">SUM(VLOOKUP(GIS!A230,GIS!A219:M238, {2,4,6,8,10,12}, FALSE)+VLOOKUP(GIS!A235,GIS!A219:M237, {2,4,6,8,10,12},FALSE))*F93</f>
        <v>0</v>
      </c>
      <c r="F93" s="119">
        <f>1-F90</f>
        <v>0.44999416297256212</v>
      </c>
      <c r="H93" s="176">
        <f t="shared" si="4"/>
        <v>0</v>
      </c>
    </row>
    <row r="94" spans="1:8">
      <c r="A94" s="142" t="s">
        <v>2531</v>
      </c>
      <c r="E94" s="176">
        <f t="array" ref="E94">SUM(VLOOKUP(GIS!A220,GIS!A219:M238, {2,4,6,8,10,12}, FALSE)+VLOOKUP(GIS!A237,GIS!A219:M238, {2,4,6,8,10,12},FALSE))</f>
        <v>0</v>
      </c>
      <c r="H94" s="176">
        <f t="shared" si="4"/>
        <v>0</v>
      </c>
    </row>
    <row r="95" spans="1:8">
      <c r="A95" s="142" t="s">
        <v>2287</v>
      </c>
      <c r="E95" s="176">
        <f t="array" ref="E95">SUM(VLOOKUP(GIS!A219,GIS!A219:M238,{2,4,6,8,10,12},FALSE)+VLOOKUP(GIS!A223,GIS!A219:M238,{2,4,6,8,10,12},FALSE))</f>
        <v>0</v>
      </c>
      <c r="H95" s="176">
        <f t="shared" si="4"/>
        <v>0</v>
      </c>
    </row>
    <row r="96" spans="1:8">
      <c r="E96" s="176"/>
    </row>
    <row r="97" spans="1:8" ht="13">
      <c r="A97" s="40" t="s">
        <v>2512</v>
      </c>
    </row>
    <row r="98" spans="1:8" ht="42.75" customHeight="1">
      <c r="A98" s="140" t="s">
        <v>2294</v>
      </c>
      <c r="B98" s="162" t="s">
        <v>2540</v>
      </c>
      <c r="C98" s="162" t="s">
        <v>2541</v>
      </c>
      <c r="D98" s="141" t="s">
        <v>1315</v>
      </c>
      <c r="E98" s="162" t="s">
        <v>2562</v>
      </c>
      <c r="F98" s="162" t="s">
        <v>2532</v>
      </c>
      <c r="G98" s="162" t="s">
        <v>2563</v>
      </c>
      <c r="H98" s="162" t="s">
        <v>2560</v>
      </c>
    </row>
    <row r="99" spans="1:8" ht="13">
      <c r="A99" s="40" t="s">
        <v>2295</v>
      </c>
    </row>
    <row r="100" spans="1:8">
      <c r="A100" s="142" t="s">
        <v>2534</v>
      </c>
      <c r="E100" s="176">
        <f t="array" ref="E100">SUM(VLOOKUP(GIS!A248,GIS!A245:M263, {2,4,6,8,10,12}, FALSE)+VLOOKUP(GIS!A259,GIS!A245:M263, {2,4,6,8,10,12}, FALSE))</f>
        <v>0</v>
      </c>
      <c r="H100" s="176">
        <f>B100+C100-E100</f>
        <v>0</v>
      </c>
    </row>
    <row r="101" spans="1:8">
      <c r="A101" s="142" t="s">
        <v>380</v>
      </c>
      <c r="E101" s="176">
        <f t="array" ref="E101">SUM(VLOOKUP(GIS!A257,GIS!A245:M263, {2,4,6,8,10,12}, FALSE))</f>
        <v>0</v>
      </c>
      <c r="H101" s="176">
        <f>B101-E101</f>
        <v>0</v>
      </c>
    </row>
    <row r="102" spans="1:8">
      <c r="A102" s="142" t="s">
        <v>2529</v>
      </c>
      <c r="E102" s="176">
        <f t="array" ref="E102">SUM(VLOOKUP(GIS!A256,GIS!A245:M263,{2,4,6,8,10,12},FALSE)+VLOOKUP(GIS!A261,GIS!A245:M262,{2,4,6,8,10,12},FALSE))*F102</f>
        <v>0</v>
      </c>
      <c r="F102" s="119">
        <f t="array" ref="F102">'EIA Form 923'!E2440</f>
        <v>0.55000583702743788</v>
      </c>
      <c r="H102" s="176">
        <f t="shared" ref="H102:H107" si="5">B102-E102</f>
        <v>0</v>
      </c>
    </row>
    <row r="103" spans="1:8" ht="13">
      <c r="A103" s="140" t="s">
        <v>2296</v>
      </c>
      <c r="E103" s="176"/>
      <c r="F103" s="119"/>
      <c r="H103" s="176"/>
    </row>
    <row r="104" spans="1:8">
      <c r="A104" s="142" t="s">
        <v>388</v>
      </c>
      <c r="E104" s="176">
        <f t="array" ref="E104">SUM(VLOOKUP(GIS!A255,GIS!A245:M263, {2,4,6,8,10,12}, FALSE))</f>
        <v>0</v>
      </c>
      <c r="F104" s="119"/>
      <c r="H104" s="176">
        <f t="shared" si="5"/>
        <v>0</v>
      </c>
    </row>
    <row r="105" spans="1:8">
      <c r="A105" s="142" t="s">
        <v>2530</v>
      </c>
      <c r="E105" s="176">
        <f t="array" ref="E105">SUM(VLOOKUP(GIS!A256,GIS!A245:M263, {2,4,6,8,10,12}, FALSE)+VLOOKUP(GIS!A261,GIS!A245:M262, {2,4,6,8,10,12},FALSE))*F105</f>
        <v>0</v>
      </c>
      <c r="F105" s="119">
        <f>1-F102</f>
        <v>0.44999416297256212</v>
      </c>
      <c r="H105" s="176">
        <f t="shared" si="5"/>
        <v>0</v>
      </c>
    </row>
    <row r="106" spans="1:8">
      <c r="A106" s="142" t="s">
        <v>2531</v>
      </c>
      <c r="E106" s="176">
        <f t="array" ref="E106">SUM(VLOOKUP(GIS!A246,GIS!A245:M263, {2,4,6,8,10,12}, FALSE)+VLOOKUP(GIS!A263,GIS!A245:M263, {2,4,6,8,10,12},FALSE))</f>
        <v>0</v>
      </c>
      <c r="H106" s="176">
        <f t="shared" si="5"/>
        <v>0</v>
      </c>
    </row>
    <row r="107" spans="1:8">
      <c r="A107" s="142" t="s">
        <v>2287</v>
      </c>
      <c r="E107" s="176">
        <f t="array" ref="E107">SUM(VLOOKUP(GIS!A245,GIS!A245:M263, {2,4,6,8,10,12}, FALSE)+VLOOKUP(GIS!A249,GIS!A245:M263, {2,4,6,8,10,12}, FALSE))</f>
        <v>0</v>
      </c>
      <c r="H107" s="176">
        <f t="shared" si="5"/>
        <v>0</v>
      </c>
    </row>
    <row r="109" spans="1:8" ht="13">
      <c r="A109" s="40" t="s">
        <v>3716</v>
      </c>
    </row>
    <row r="110" spans="1:8" ht="39" customHeight="1">
      <c r="A110" s="140" t="s">
        <v>2294</v>
      </c>
      <c r="B110" s="162" t="s">
        <v>2540</v>
      </c>
      <c r="C110" s="162" t="s">
        <v>2541</v>
      </c>
      <c r="D110" s="141" t="s">
        <v>1315</v>
      </c>
      <c r="E110" s="162" t="s">
        <v>2562</v>
      </c>
      <c r="F110" s="162" t="s">
        <v>2532</v>
      </c>
      <c r="G110" s="162" t="s">
        <v>2563</v>
      </c>
      <c r="H110" s="162" t="s">
        <v>2560</v>
      </c>
    </row>
    <row r="111" spans="1:8" ht="13">
      <c r="A111" s="40" t="s">
        <v>2295</v>
      </c>
    </row>
    <row r="112" spans="1:8">
      <c r="A112" s="142" t="s">
        <v>2534</v>
      </c>
      <c r="E112" s="176">
        <f t="array" ref="E112">SUM(VLOOKUP(GIS!A274,GIS!A271:M289,{2,4,6,8,10,12},FALSE)+VLOOKUP(GIS!A285,GIS!A271:M289,{2,4,6,8,10,12},FALSE))</f>
        <v>0</v>
      </c>
      <c r="H112" s="176">
        <f>B112+C112-E112</f>
        <v>0</v>
      </c>
    </row>
    <row r="113" spans="1:8">
      <c r="A113" s="142" t="s">
        <v>380</v>
      </c>
      <c r="E113" s="176">
        <f t="array" ref="E113">SUM(VLOOKUP(GIS!A283,GIS!A271:M289, {2,4,6,8,10,12}, FALSE))</f>
        <v>0</v>
      </c>
      <c r="H113" s="176">
        <f>B113-E113</f>
        <v>0</v>
      </c>
    </row>
    <row r="114" spans="1:8">
      <c r="A114" s="142" t="s">
        <v>2529</v>
      </c>
      <c r="E114" s="176">
        <f t="array" ref="E114">SUM(VLOOKUP(GIS!A282,GIS!A271:M289, {2,4,6,8,10,12}, FALSE)+VLOOKUP(GIS!A287,GIS!A271:M289, {2,4,6,8,10,12},FALSE))*F114</f>
        <v>0</v>
      </c>
      <c r="F114" s="119">
        <f t="array" ref="F114">'EIA Form 923'!E2440</f>
        <v>0.55000583702743788</v>
      </c>
      <c r="H114" s="176">
        <f t="shared" ref="H114:H119" si="6">B114-E114</f>
        <v>0</v>
      </c>
    </row>
    <row r="115" spans="1:8" ht="13">
      <c r="A115" s="140" t="s">
        <v>2296</v>
      </c>
      <c r="E115" s="176"/>
      <c r="F115" s="119"/>
      <c r="H115" s="176"/>
    </row>
    <row r="116" spans="1:8">
      <c r="A116" s="142" t="s">
        <v>388</v>
      </c>
      <c r="E116" s="176">
        <f t="array" ref="E116">SUM(VLOOKUP(GIS!A281,GIS!A271:M289, {2,4,6,8,10,12}, FALSE))</f>
        <v>779045.37490051845</v>
      </c>
      <c r="F116" s="119"/>
      <c r="H116" s="176">
        <f t="shared" si="6"/>
        <v>-779045.37490051845</v>
      </c>
    </row>
    <row r="117" spans="1:8">
      <c r="A117" s="142" t="s">
        <v>2530</v>
      </c>
      <c r="E117" s="176">
        <f t="array" ref="E117">SUM(VLOOKUP(GIS!A282,GIS!A271:M289, {2,4,6,8,10,12}, FALSE)+VLOOKUP(GIS!A287,GIS!A271:M289, {2,4,6,8,10,12},FALSE))*F117</f>
        <v>0</v>
      </c>
      <c r="F117" s="119">
        <f>1-F114</f>
        <v>0.44999416297256212</v>
      </c>
      <c r="H117" s="176">
        <f t="shared" si="6"/>
        <v>0</v>
      </c>
    </row>
    <row r="118" spans="1:8">
      <c r="A118" s="142" t="s">
        <v>2531</v>
      </c>
      <c r="E118" s="176">
        <f t="array" ref="E118">SUM(VLOOKUP(GIS!A272,GIS!A271:M289, {2,4,6,8,10,12}, FALSE)+VLOOKUP(GIS!A289,GIS!A271:M289, {2,4,6,8,10,12}, FALSE))</f>
        <v>1834830.0577487096</v>
      </c>
      <c r="F118" s="119"/>
      <c r="H118" s="176">
        <f t="shared" si="6"/>
        <v>-1834830.0577487096</v>
      </c>
    </row>
    <row r="119" spans="1:8">
      <c r="A119" s="142" t="s">
        <v>2287</v>
      </c>
      <c r="E119" s="176">
        <f t="array" ref="E119">SUM(VLOOKUP(GIS!A271,GIS!A271:M289, {2,4,6,8,10,12}, FALSE)+VLOOKUP(GIS!A275,GIS!A271:M289, {2,4,6,8,10,12}, FALSE))</f>
        <v>0</v>
      </c>
      <c r="H119" s="176">
        <f t="shared" si="6"/>
        <v>0</v>
      </c>
    </row>
  </sheetData>
  <pageMargins left="0.7" right="0.7" top="0.75" bottom="0.75" header="0.3" footer="0.3"/>
  <pageSetup scale="75" fitToHeight="0" orientation="landscape"/>
  <rowBreaks count="3" manualBreakCount="3">
    <brk id="36" max="16383" man="1"/>
    <brk id="72" max="16383" man="1"/>
    <brk id="108" max="16383" man="1"/>
  </rowBreaks>
  <tableParts count="9">
    <tablePart r:id="rId1"/>
    <tablePart r:id="rId2"/>
    <tablePart r:id="rId3"/>
    <tablePart r:id="rId4"/>
    <tablePart r:id="rId5"/>
    <tablePart r:id="rId6"/>
    <tablePart r:id="rId7"/>
    <tablePart r:id="rId8"/>
    <tablePart r:id="rId9"/>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6" tint="0.39997558519241921"/>
  </sheetPr>
  <dimension ref="A1:AQ316"/>
  <sheetViews>
    <sheetView zoomScale="76" zoomScaleNormal="76" workbookViewId="0"/>
  </sheetViews>
  <sheetFormatPr defaultColWidth="9.1796875" defaultRowHeight="12.5"/>
  <cols>
    <col min="1" max="1" width="40" style="20" customWidth="1"/>
    <col min="2" max="2" width="14" style="20" customWidth="1"/>
    <col min="3" max="3" width="13.453125" style="20" customWidth="1"/>
    <col min="4" max="4" width="16.453125" style="20" customWidth="1"/>
    <col min="5" max="5" width="15" style="20" customWidth="1"/>
    <col min="6" max="6" width="14.453125" style="20" customWidth="1"/>
    <col min="7" max="7" width="11.453125" style="20" customWidth="1"/>
    <col min="8" max="9" width="14.453125" style="20" customWidth="1"/>
    <col min="10" max="10" width="13.453125" style="20" customWidth="1"/>
    <col min="11" max="11" width="19.81640625" style="20" customWidth="1"/>
    <col min="12" max="12" width="13.81640625" style="20" customWidth="1"/>
    <col min="13" max="13" width="14" style="20" customWidth="1"/>
    <col min="14" max="14" width="10.1796875" style="20" customWidth="1"/>
    <col min="15" max="15" width="23.453125" style="20" customWidth="1"/>
    <col min="16" max="16" width="30.453125" style="20" customWidth="1"/>
    <col min="17" max="18" width="12.453125" style="20" customWidth="1"/>
    <col min="19" max="19" width="13.453125" style="20" customWidth="1"/>
    <col min="20" max="20" width="11.54296875" style="20" customWidth="1"/>
    <col min="21" max="21" width="13.1796875" style="20" bestFit="1" customWidth="1"/>
    <col min="22" max="22" width="13.81640625" style="20" customWidth="1"/>
    <col min="23" max="23" width="10.453125" style="20" customWidth="1"/>
    <col min="24" max="24" width="12.453125" style="20" customWidth="1"/>
    <col min="25" max="25" width="11.1796875" style="20" customWidth="1"/>
    <col min="26" max="26" width="12.1796875" style="20" customWidth="1"/>
    <col min="27" max="27" width="9.453125" style="20" customWidth="1"/>
    <col min="28" max="28" width="12.453125" style="20" customWidth="1"/>
    <col min="29" max="29" width="9.54296875" style="20" customWidth="1"/>
    <col min="30" max="30" width="9.1796875" style="20" customWidth="1"/>
    <col min="31" max="31" width="9.54296875" style="20" customWidth="1"/>
    <col min="32" max="32" width="12.81640625" style="20" customWidth="1"/>
    <col min="33" max="33" width="9.453125" style="20" customWidth="1"/>
    <col min="34" max="34" width="10.81640625" style="20" customWidth="1"/>
    <col min="35" max="35" width="12.453125" style="20" customWidth="1"/>
    <col min="36" max="36" width="9.453125" style="20" customWidth="1"/>
    <col min="37" max="37" width="12.1796875" style="20" customWidth="1"/>
    <col min="38" max="39" width="9.1796875" style="20" customWidth="1"/>
    <col min="40" max="40" width="13.1796875" style="20" customWidth="1"/>
    <col min="41" max="41" width="12.81640625" style="20" bestFit="1" customWidth="1"/>
    <col min="42" max="42" width="11.81640625" style="20" customWidth="1"/>
    <col min="43" max="43" width="13.453125" style="20" customWidth="1"/>
    <col min="44" max="44" width="16.54296875" style="20" customWidth="1"/>
    <col min="45" max="45" width="9.1796875" style="20"/>
    <col min="46" max="46" width="12.81640625" style="20" customWidth="1"/>
    <col min="47" max="16384" width="9.1796875" style="20"/>
  </cols>
  <sheetData>
    <row r="1" spans="1:16" ht="15.5">
      <c r="A1" s="104" t="s">
        <v>2723</v>
      </c>
    </row>
    <row r="2" spans="1:16" ht="15.5">
      <c r="A2" s="104" t="s">
        <v>2645</v>
      </c>
    </row>
    <row r="3" spans="1:16" ht="15.5">
      <c r="A3" s="104"/>
    </row>
    <row r="4" spans="1:16">
      <c r="A4" s="20" t="s">
        <v>2603</v>
      </c>
    </row>
    <row r="5" spans="1:16">
      <c r="A5" s="20" t="s">
        <v>2646</v>
      </c>
    </row>
    <row r="6" spans="1:16">
      <c r="A6" s="20" t="s">
        <v>2538</v>
      </c>
    </row>
    <row r="7" spans="1:16" ht="13">
      <c r="P7" s="105"/>
    </row>
    <row r="8" spans="1:16" ht="13">
      <c r="A8" s="40" t="s">
        <v>2647</v>
      </c>
      <c r="P8" s="25"/>
    </row>
    <row r="9" spans="1:16">
      <c r="A9" s="20" t="s">
        <v>2780</v>
      </c>
      <c r="P9" s="25"/>
    </row>
    <row r="10" spans="1:16">
      <c r="A10" s="20" t="s">
        <v>2652</v>
      </c>
      <c r="P10" s="25"/>
    </row>
    <row r="11" spans="1:16">
      <c r="A11" s="20" t="s">
        <v>2700</v>
      </c>
      <c r="P11" s="25"/>
    </row>
    <row r="12" spans="1:16">
      <c r="P12" s="25"/>
    </row>
    <row r="13" spans="1:16" ht="13">
      <c r="A13" s="40" t="s">
        <v>2747</v>
      </c>
      <c r="P13" s="25"/>
    </row>
    <row r="14" spans="1:16">
      <c r="A14" s="20" t="s">
        <v>2650</v>
      </c>
      <c r="P14" s="25"/>
    </row>
    <row r="15" spans="1:16">
      <c r="A15" s="20" t="s">
        <v>2651</v>
      </c>
      <c r="P15" s="25"/>
    </row>
    <row r="16" spans="1:16">
      <c r="A16" s="20" t="s">
        <v>2653</v>
      </c>
      <c r="P16" s="25"/>
    </row>
    <row r="17" spans="1:35">
      <c r="P17" s="25"/>
    </row>
    <row r="18" spans="1:35" ht="13">
      <c r="A18" s="40" t="s">
        <v>2755</v>
      </c>
      <c r="P18" s="25"/>
    </row>
    <row r="19" spans="1:35">
      <c r="A19" s="20" t="s">
        <v>2756</v>
      </c>
      <c r="P19" s="25"/>
    </row>
    <row r="20" spans="1:35">
      <c r="A20" s="20" t="s">
        <v>2757</v>
      </c>
      <c r="P20" s="25"/>
      <c r="Q20" s="124"/>
    </row>
    <row r="21" spans="1:35">
      <c r="A21" s="20" t="s">
        <v>2654</v>
      </c>
    </row>
    <row r="23" spans="1:35">
      <c r="A23" s="20" t="s">
        <v>2655</v>
      </c>
      <c r="P23" s="25"/>
    </row>
    <row r="24" spans="1:35">
      <c r="A24" s="20" t="s">
        <v>2656</v>
      </c>
      <c r="P24" s="25"/>
    </row>
    <row r="25" spans="1:35">
      <c r="A25" s="20" t="s">
        <v>2781</v>
      </c>
    </row>
    <row r="26" spans="1:35" ht="13.5" thickBot="1">
      <c r="A26" s="65"/>
      <c r="B26" s="451"/>
      <c r="C26" s="451"/>
      <c r="D26" s="451"/>
      <c r="E26" s="451"/>
      <c r="F26" s="451"/>
      <c r="G26" s="451"/>
      <c r="H26" s="451"/>
      <c r="I26" s="451"/>
      <c r="J26" s="451"/>
      <c r="K26" s="451"/>
      <c r="L26" s="451"/>
      <c r="M26" s="451"/>
      <c r="N26" s="451"/>
      <c r="O26" s="451"/>
      <c r="P26" s="451"/>
      <c r="Q26" s="451"/>
      <c r="R26" s="451"/>
      <c r="S26" s="451"/>
      <c r="T26" s="451"/>
      <c r="U26" s="451"/>
      <c r="V26" s="451"/>
      <c r="W26" s="451"/>
      <c r="X26" s="451"/>
      <c r="Y26" s="451"/>
      <c r="Z26" s="451"/>
      <c r="AA26" s="451"/>
      <c r="AB26" s="451"/>
      <c r="AC26" s="451"/>
      <c r="AD26" s="451"/>
      <c r="AE26" s="451"/>
      <c r="AF26" s="451"/>
      <c r="AG26" s="451"/>
      <c r="AH26" s="451"/>
      <c r="AI26" s="451"/>
    </row>
    <row r="28" spans="1:35" ht="13">
      <c r="A28" s="40" t="s">
        <v>2604</v>
      </c>
    </row>
    <row r="29" spans="1:35">
      <c r="A29" s="20" t="s">
        <v>2657</v>
      </c>
    </row>
    <row r="30" spans="1:35">
      <c r="A30" s="675" t="s">
        <v>3737</v>
      </c>
    </row>
    <row r="31" spans="1:35">
      <c r="A31" s="20" t="s">
        <v>2601</v>
      </c>
    </row>
    <row r="32" spans="1:35">
      <c r="A32" s="654" t="s">
        <v>3362</v>
      </c>
    </row>
    <row r="33" spans="1:16" ht="13" thickBot="1">
      <c r="A33" s="20" t="s">
        <v>2658</v>
      </c>
    </row>
    <row r="34" spans="1:16" ht="15" customHeight="1" thickBot="1">
      <c r="A34" s="503">
        <v>2020</v>
      </c>
      <c r="B34" s="826" t="s">
        <v>1408</v>
      </c>
      <c r="C34" s="827"/>
      <c r="D34" s="827"/>
      <c r="E34" s="827"/>
      <c r="F34" s="827"/>
      <c r="G34" s="827"/>
      <c r="H34" s="827"/>
      <c r="I34" s="827"/>
      <c r="J34" s="827"/>
      <c r="K34" s="828"/>
    </row>
    <row r="35" spans="1:16" ht="42.5" thickBot="1">
      <c r="A35" s="504" t="s">
        <v>1409</v>
      </c>
      <c r="B35" s="505" t="s">
        <v>81</v>
      </c>
      <c r="C35" s="505" t="s">
        <v>41</v>
      </c>
      <c r="D35" s="505" t="s">
        <v>90</v>
      </c>
      <c r="E35" s="505" t="s">
        <v>96</v>
      </c>
      <c r="F35" s="505" t="s">
        <v>131</v>
      </c>
      <c r="G35" s="505" t="s">
        <v>89</v>
      </c>
      <c r="H35" s="505" t="s">
        <v>57</v>
      </c>
      <c r="I35" s="506" t="s">
        <v>2511</v>
      </c>
      <c r="J35" s="505" t="s">
        <v>3718</v>
      </c>
      <c r="K35" s="507" t="s">
        <v>1410</v>
      </c>
    </row>
    <row r="36" spans="1:16" ht="14.25" customHeight="1">
      <c r="A36" s="131" t="s">
        <v>2285</v>
      </c>
      <c r="B36" s="111">
        <f t="shared" ref="B36:H36" si="0">B46</f>
        <v>13.402904311374245</v>
      </c>
      <c r="C36" s="111">
        <f t="shared" si="0"/>
        <v>11.57967705105203</v>
      </c>
      <c r="D36" s="111">
        <f t="shared" si="0"/>
        <v>9.3148131308538691</v>
      </c>
      <c r="E36" s="111">
        <f t="shared" si="0"/>
        <v>17.577675100016904</v>
      </c>
      <c r="F36" s="111">
        <f t="shared" si="0"/>
        <v>9.8510571863382115</v>
      </c>
      <c r="G36" s="111">
        <f t="shared" si="0"/>
        <v>10.678894064214557</v>
      </c>
      <c r="H36" s="111">
        <f t="shared" si="0"/>
        <v>11.769603014990967</v>
      </c>
      <c r="I36" s="111"/>
      <c r="J36" s="111"/>
      <c r="K36" s="108" t="s">
        <v>68</v>
      </c>
    </row>
    <row r="37" spans="1:16">
      <c r="A37" s="110" t="s">
        <v>1262</v>
      </c>
      <c r="B37" s="111">
        <f>B54</f>
        <v>20.107554384140673</v>
      </c>
      <c r="C37" s="111">
        <f>C54</f>
        <v>11.905848780991036</v>
      </c>
      <c r="D37" s="111">
        <f>D54</f>
        <v>14.031422602039274</v>
      </c>
      <c r="E37" s="111">
        <f>E54</f>
        <v>14.067952505480536</v>
      </c>
      <c r="F37" s="111"/>
      <c r="G37" s="111">
        <f>G54</f>
        <v>14.945460395779058</v>
      </c>
      <c r="H37" s="111">
        <f>H54</f>
        <v>18.5933860745257</v>
      </c>
      <c r="I37" s="111"/>
      <c r="J37" s="111">
        <f>'EIA Form 923'!Y2433</f>
        <v>14.60375241958206</v>
      </c>
      <c r="K37" s="108" t="s">
        <v>69</v>
      </c>
    </row>
    <row r="38" spans="1:16" ht="13">
      <c r="A38" s="112" t="s">
        <v>1263</v>
      </c>
      <c r="B38" s="113"/>
      <c r="C38" s="113"/>
      <c r="D38" s="113"/>
      <c r="E38" s="113"/>
      <c r="F38" s="113"/>
      <c r="G38" s="113"/>
      <c r="H38" s="113"/>
      <c r="I38" s="113"/>
      <c r="J38" s="113"/>
      <c r="K38" s="109" t="s">
        <v>1315</v>
      </c>
      <c r="P38" s="40" t="s">
        <v>2749</v>
      </c>
    </row>
    <row r="39" spans="1:16" ht="13">
      <c r="A39" s="110" t="s">
        <v>2521</v>
      </c>
      <c r="B39" s="111">
        <f>'EIA Form 923'!Z2438</f>
        <v>9.969302797480692</v>
      </c>
      <c r="C39" s="111">
        <f>'EIA Form 923'!Z2463</f>
        <v>10.659452788013493</v>
      </c>
      <c r="D39" s="111">
        <f>'EIA Form 923'!Z2488</f>
        <v>28.777273861634477</v>
      </c>
      <c r="E39" s="111">
        <f>'EIA Form 923'!Z2513</f>
        <v>7.8473296338620866</v>
      </c>
      <c r="F39" s="111">
        <f>'EIA Form 923'!Z2563</f>
        <v>9.2615222842462579</v>
      </c>
      <c r="G39" s="111">
        <f>'EIA Form 923'!Z2588</f>
        <v>21.91346153846154</v>
      </c>
      <c r="H39" s="111">
        <f>'EIA Form 923'!Z2538</f>
        <v>11.743016201743114</v>
      </c>
      <c r="I39" s="111"/>
      <c r="J39" s="111"/>
      <c r="K39" s="108" t="s">
        <v>46</v>
      </c>
      <c r="P39" s="40" t="s">
        <v>2665</v>
      </c>
    </row>
    <row r="40" spans="1:16">
      <c r="A40" s="110" t="s">
        <v>1265</v>
      </c>
      <c r="B40" s="111">
        <f t="shared" ref="B40:H40" si="1">B46</f>
        <v>13.402904311374245</v>
      </c>
      <c r="C40" s="111">
        <f>C46</f>
        <v>11.57967705105203</v>
      </c>
      <c r="D40" s="111">
        <f t="shared" si="1"/>
        <v>9.3148131308538691</v>
      </c>
      <c r="E40" s="111">
        <f t="shared" si="1"/>
        <v>17.577675100016904</v>
      </c>
      <c r="F40" s="111">
        <f>F46</f>
        <v>9.8510571863382115</v>
      </c>
      <c r="G40" s="111">
        <f t="shared" si="1"/>
        <v>10.678894064214557</v>
      </c>
      <c r="H40" s="111">
        <f t="shared" si="1"/>
        <v>11.769603014990967</v>
      </c>
      <c r="I40" s="111"/>
      <c r="J40" s="111"/>
      <c r="K40" s="108" t="s">
        <v>68</v>
      </c>
      <c r="P40" s="20" t="s">
        <v>2666</v>
      </c>
    </row>
    <row r="41" spans="1:16">
      <c r="A41" s="112" t="s">
        <v>1266</v>
      </c>
      <c r="B41" s="113">
        <v>0</v>
      </c>
      <c r="C41" s="113">
        <v>0</v>
      </c>
      <c r="D41" s="113">
        <v>0</v>
      </c>
      <c r="E41" s="113">
        <v>0</v>
      </c>
      <c r="F41" s="113">
        <v>0</v>
      </c>
      <c r="G41" s="113">
        <v>0</v>
      </c>
      <c r="H41" s="113">
        <v>0</v>
      </c>
      <c r="I41" s="113"/>
      <c r="J41" s="113"/>
      <c r="K41" s="109" t="s">
        <v>1315</v>
      </c>
      <c r="P41" s="675" t="s">
        <v>2749</v>
      </c>
    </row>
    <row r="42" spans="1:16">
      <c r="A42" s="110" t="s">
        <v>3075</v>
      </c>
      <c r="B42" s="111"/>
      <c r="C42" s="111"/>
      <c r="D42" s="111"/>
      <c r="E42" s="111"/>
      <c r="F42" s="111"/>
      <c r="G42" s="111"/>
      <c r="H42" s="111"/>
      <c r="I42" s="111"/>
      <c r="J42" s="111"/>
      <c r="K42" s="108" t="s">
        <v>3076</v>
      </c>
      <c r="P42" s="20" t="s">
        <v>2670</v>
      </c>
    </row>
    <row r="43" spans="1:16">
      <c r="A43" s="112" t="s">
        <v>1268</v>
      </c>
      <c r="B43" s="113">
        <v>0</v>
      </c>
      <c r="C43" s="113">
        <v>0</v>
      </c>
      <c r="D43" s="113">
        <v>0</v>
      </c>
      <c r="E43" s="113">
        <v>0</v>
      </c>
      <c r="F43" s="113">
        <v>0</v>
      </c>
      <c r="G43" s="113">
        <v>0</v>
      </c>
      <c r="H43" s="113">
        <v>0</v>
      </c>
      <c r="I43" s="113"/>
      <c r="J43" s="113"/>
      <c r="K43" s="109" t="s">
        <v>1315</v>
      </c>
    </row>
    <row r="44" spans="1:16">
      <c r="A44" s="112" t="s">
        <v>1269</v>
      </c>
      <c r="B44" s="113">
        <v>0</v>
      </c>
      <c r="C44" s="113">
        <v>0</v>
      </c>
      <c r="D44" s="113">
        <v>0</v>
      </c>
      <c r="E44" s="113">
        <v>0</v>
      </c>
      <c r="F44" s="113">
        <v>0</v>
      </c>
      <c r="G44" s="113">
        <v>0</v>
      </c>
      <c r="H44" s="113">
        <v>0</v>
      </c>
      <c r="I44" s="113"/>
      <c r="J44" s="113"/>
      <c r="K44" s="109" t="s">
        <v>1315</v>
      </c>
      <c r="P44" s="20" t="s">
        <v>2667</v>
      </c>
    </row>
    <row r="45" spans="1:16">
      <c r="A45" s="112" t="s">
        <v>1270</v>
      </c>
      <c r="B45" s="113"/>
      <c r="C45" s="113"/>
      <c r="D45" s="113"/>
      <c r="E45" s="113"/>
      <c r="F45" s="113"/>
      <c r="G45" s="113"/>
      <c r="H45" s="113"/>
      <c r="I45" s="113"/>
      <c r="J45" s="113"/>
      <c r="K45" s="109" t="s">
        <v>1315</v>
      </c>
      <c r="P45" s="20" t="s">
        <v>2668</v>
      </c>
    </row>
    <row r="46" spans="1:16">
      <c r="A46" s="110" t="s">
        <v>1411</v>
      </c>
      <c r="B46" s="111">
        <f>'EIA Form 923'!Z2450</f>
        <v>13.402904311374245</v>
      </c>
      <c r="C46" s="111">
        <f>'EIA Form 923'!Z2475</f>
        <v>11.57967705105203</v>
      </c>
      <c r="D46" s="111">
        <f>'EIA Form 923'!Z2500</f>
        <v>9.3148131308538691</v>
      </c>
      <c r="E46" s="111">
        <f>'EIA Form 923'!Z2525</f>
        <v>17.577675100016904</v>
      </c>
      <c r="F46" s="111">
        <f>'EIA Form 923'!Z2575</f>
        <v>9.8510571863382115</v>
      </c>
      <c r="G46" s="111">
        <f>'EIA Form 923'!Z2600</f>
        <v>10.678894064214557</v>
      </c>
      <c r="H46" s="111">
        <f>'EIA Form 923'!Z2550</f>
        <v>11.769603014990967</v>
      </c>
      <c r="I46" s="111"/>
      <c r="J46" s="111">
        <f>'EIA Form 923'!Y2434</f>
        <v>11.762548880441463</v>
      </c>
      <c r="K46" s="108" t="s">
        <v>63</v>
      </c>
      <c r="P46" s="20" t="s">
        <v>2669</v>
      </c>
    </row>
    <row r="47" spans="1:16">
      <c r="A47" s="110" t="s">
        <v>1272</v>
      </c>
      <c r="B47" s="111">
        <f>'EIA Form 923'!Z2440</f>
        <v>18.110613563370439</v>
      </c>
      <c r="C47" s="111">
        <f>'EIA Form 923'!Z2465</f>
        <v>19.343277257221441</v>
      </c>
      <c r="D47" s="111">
        <f>'EIA Form 923'!Z2490</f>
        <v>20.856354849476041</v>
      </c>
      <c r="E47" s="111">
        <f>'EIA Form 923'!Z2515</f>
        <v>19.505401598870446</v>
      </c>
      <c r="F47" s="111"/>
      <c r="G47" s="111"/>
      <c r="H47" s="111">
        <f>'EIA Form 923'!Z2540</f>
        <v>15.244871705846789</v>
      </c>
      <c r="I47" s="111"/>
      <c r="J47" s="111"/>
      <c r="K47" s="747" t="s">
        <v>3729</v>
      </c>
      <c r="P47" s="20" t="s">
        <v>2774</v>
      </c>
    </row>
    <row r="48" spans="1:16">
      <c r="A48" s="110" t="s">
        <v>2522</v>
      </c>
      <c r="B48" s="111">
        <f>'EIA Form 923'!Z2439</f>
        <v>7.6512163407828453</v>
      </c>
      <c r="C48" s="111">
        <f>'EIA Form 923'!Z2464</f>
        <v>7.09354525308063</v>
      </c>
      <c r="D48" s="111">
        <f>'EIA Form 923'!Z2489</f>
        <v>7.3307703630202141</v>
      </c>
      <c r="E48" s="111">
        <f>'EIA Form 923'!Z2514</f>
        <v>7.4844128328939785</v>
      </c>
      <c r="F48" s="111">
        <f>'EIA Form 923'!Z2564</f>
        <v>7.547453565059822</v>
      </c>
      <c r="G48" s="111">
        <f>'EIA Form 923'!Z2589</f>
        <v>14.874065403256253</v>
      </c>
      <c r="H48" s="111">
        <f>'EIA Form 923'!Z2539</f>
        <v>7.9607132192250365</v>
      </c>
      <c r="I48" s="111"/>
      <c r="J48" s="111"/>
      <c r="K48" s="108" t="s">
        <v>39</v>
      </c>
      <c r="P48" s="20" t="s">
        <v>2698</v>
      </c>
    </row>
    <row r="49" spans="1:18">
      <c r="A49" s="112" t="s">
        <v>1274</v>
      </c>
      <c r="B49" s="113">
        <v>0</v>
      </c>
      <c r="C49" s="113">
        <v>0</v>
      </c>
      <c r="D49" s="113">
        <v>0</v>
      </c>
      <c r="E49" s="113">
        <v>0</v>
      </c>
      <c r="F49" s="113">
        <v>0</v>
      </c>
      <c r="G49" s="113">
        <v>0</v>
      </c>
      <c r="H49" s="113">
        <v>0</v>
      </c>
      <c r="I49" s="113"/>
      <c r="J49" s="113"/>
      <c r="K49" s="109" t="s">
        <v>1315</v>
      </c>
      <c r="P49" s="20" t="s">
        <v>2750</v>
      </c>
    </row>
    <row r="50" spans="1:18">
      <c r="A50" s="110" t="s">
        <v>1275</v>
      </c>
      <c r="B50" s="111">
        <f>'EIA Form 923'!Z2438</f>
        <v>9.969302797480692</v>
      </c>
      <c r="C50" s="111"/>
      <c r="D50" s="111"/>
      <c r="E50" s="111"/>
      <c r="F50" s="111"/>
      <c r="G50" s="111">
        <f>'EIA Form 923'!Z2588</f>
        <v>21.91346153846154</v>
      </c>
      <c r="H50" s="111"/>
      <c r="I50" s="111"/>
      <c r="J50" s="111"/>
      <c r="K50" s="108" t="s">
        <v>46</v>
      </c>
    </row>
    <row r="51" spans="1:18" ht="13.5" thickBot="1">
      <c r="A51" s="112" t="s">
        <v>1276</v>
      </c>
      <c r="B51" s="113">
        <v>0</v>
      </c>
      <c r="C51" s="113">
        <v>0</v>
      </c>
      <c r="D51" s="113">
        <v>0</v>
      </c>
      <c r="E51" s="113">
        <v>0</v>
      </c>
      <c r="F51" s="113">
        <v>0</v>
      </c>
      <c r="G51" s="113">
        <v>0</v>
      </c>
      <c r="H51" s="113">
        <v>0</v>
      </c>
      <c r="I51" s="113"/>
      <c r="J51" s="113"/>
      <c r="K51" s="109" t="s">
        <v>1315</v>
      </c>
      <c r="P51" s="40" t="s">
        <v>2544</v>
      </c>
    </row>
    <row r="52" spans="1:18" ht="13.5" thickBot="1">
      <c r="A52" s="110" t="s">
        <v>1277</v>
      </c>
      <c r="B52" s="111">
        <f>B47</f>
        <v>18.110613563370439</v>
      </c>
      <c r="C52" s="111">
        <f t="shared" ref="C52:H52" si="2">C47</f>
        <v>19.343277257221441</v>
      </c>
      <c r="D52" s="111">
        <f t="shared" si="2"/>
        <v>20.856354849476041</v>
      </c>
      <c r="E52" s="111">
        <f t="shared" si="2"/>
        <v>19.505401598870446</v>
      </c>
      <c r="F52" s="111"/>
      <c r="G52" s="111"/>
      <c r="H52" s="111">
        <f t="shared" si="2"/>
        <v>15.244871705846789</v>
      </c>
      <c r="I52" s="111"/>
      <c r="J52" s="111"/>
      <c r="K52" s="108" t="str">
        <f>K47</f>
        <v>% MSN &amp; % MSB</v>
      </c>
      <c r="P52" s="687">
        <v>2021</v>
      </c>
      <c r="Q52" s="688">
        <v>364967</v>
      </c>
      <c r="R52" s="689">
        <v>45013</v>
      </c>
    </row>
    <row r="53" spans="1:18">
      <c r="A53" s="112" t="s">
        <v>1278</v>
      </c>
      <c r="B53" s="113">
        <v>0</v>
      </c>
      <c r="C53" s="113">
        <v>0</v>
      </c>
      <c r="D53" s="113">
        <v>0</v>
      </c>
      <c r="E53" s="113">
        <v>0</v>
      </c>
      <c r="F53" s="113">
        <v>0</v>
      </c>
      <c r="G53" s="113">
        <v>0</v>
      </c>
      <c r="H53" s="113">
        <v>0</v>
      </c>
      <c r="I53" s="113"/>
      <c r="J53" s="113"/>
      <c r="K53" s="109" t="s">
        <v>1315</v>
      </c>
      <c r="P53" s="675" t="s">
        <v>3730</v>
      </c>
    </row>
    <row r="54" spans="1:18" ht="13" thickBot="1">
      <c r="A54" s="114" t="s">
        <v>1279</v>
      </c>
      <c r="B54" s="115">
        <f>'EIA Form 923'!Z2453</f>
        <v>20.107554384140673</v>
      </c>
      <c r="C54" s="115">
        <f>'EIA Form 923'!Z2478</f>
        <v>11.905848780991036</v>
      </c>
      <c r="D54" s="115">
        <f>'EIA Form 923'!Z2503</f>
        <v>14.031422602039274</v>
      </c>
      <c r="E54" s="115">
        <f>'EIA Form 923'!Z2528</f>
        <v>14.067952505480536</v>
      </c>
      <c r="F54" s="115"/>
      <c r="G54" s="115">
        <f>'EIA Form 923'!Z2603</f>
        <v>14.945460395779058</v>
      </c>
      <c r="H54" s="115">
        <f>'EIA Form 923'!Z2553</f>
        <v>18.5933860745257</v>
      </c>
      <c r="I54" s="115"/>
      <c r="J54" s="115"/>
      <c r="K54" s="508" t="s">
        <v>69</v>
      </c>
      <c r="M54" s="124"/>
      <c r="P54" s="20" t="s">
        <v>2758</v>
      </c>
    </row>
    <row r="55" spans="1:18">
      <c r="B55" s="124"/>
      <c r="C55" s="124"/>
      <c r="D55" s="124"/>
      <c r="E55" s="124"/>
      <c r="F55" s="124"/>
      <c r="G55" s="124"/>
      <c r="H55" s="124"/>
      <c r="I55" s="124"/>
      <c r="J55" s="124"/>
      <c r="M55" s="124"/>
    </row>
    <row r="56" spans="1:18" ht="13">
      <c r="A56" s="40" t="s">
        <v>2659</v>
      </c>
      <c r="P56" s="40" t="s">
        <v>2752</v>
      </c>
    </row>
    <row r="57" spans="1:18">
      <c r="A57" s="20" t="s">
        <v>2748</v>
      </c>
      <c r="P57" s="20" t="s">
        <v>2753</v>
      </c>
    </row>
    <row r="58" spans="1:18">
      <c r="A58" s="20" t="s">
        <v>2660</v>
      </c>
      <c r="P58" s="20" t="s">
        <v>2724</v>
      </c>
    </row>
    <row r="59" spans="1:18">
      <c r="A59" s="20" t="s">
        <v>2661</v>
      </c>
      <c r="P59" s="20" t="s">
        <v>2725</v>
      </c>
    </row>
    <row r="60" spans="1:18" ht="13">
      <c r="A60" s="40" t="s">
        <v>2662</v>
      </c>
      <c r="P60" s="20" t="s">
        <v>2671</v>
      </c>
    </row>
    <row r="61" spans="1:18" ht="13">
      <c r="A61" s="40" t="s">
        <v>2663</v>
      </c>
      <c r="P61" s="20" t="s">
        <v>2727</v>
      </c>
    </row>
    <row r="62" spans="1:18">
      <c r="A62" s="20" t="s">
        <v>2664</v>
      </c>
      <c r="P62" s="20" t="s">
        <v>2726</v>
      </c>
    </row>
    <row r="63" spans="1:18" ht="13">
      <c r="A63" s="20" t="s">
        <v>2699</v>
      </c>
      <c r="P63" s="40" t="s">
        <v>2754</v>
      </c>
    </row>
    <row r="64" spans="1:18" ht="13" thickBot="1"/>
    <row r="65" spans="1:34" ht="14.5" thickBot="1">
      <c r="A65" s="826" t="s">
        <v>1541</v>
      </c>
      <c r="B65" s="827"/>
      <c r="C65" s="827"/>
      <c r="D65" s="827"/>
      <c r="E65" s="827"/>
      <c r="F65" s="827"/>
      <c r="G65" s="827"/>
      <c r="H65" s="827"/>
      <c r="I65" s="827"/>
      <c r="J65" s="827"/>
      <c r="K65" s="827"/>
      <c r="L65" s="827"/>
      <c r="M65" s="828"/>
      <c r="N65" s="40"/>
      <c r="P65" s="826" t="s">
        <v>2672</v>
      </c>
      <c r="Q65" s="827"/>
      <c r="R65" s="827"/>
      <c r="S65" s="827"/>
      <c r="T65" s="827"/>
      <c r="U65" s="827"/>
      <c r="V65" s="827"/>
      <c r="W65" s="827"/>
      <c r="X65" s="827"/>
      <c r="Y65" s="827"/>
      <c r="Z65" s="827"/>
      <c r="AA65" s="827"/>
      <c r="AB65" s="827"/>
      <c r="AC65" s="827"/>
      <c r="AD65" s="827"/>
      <c r="AE65" s="827"/>
      <c r="AF65" s="827"/>
      <c r="AG65" s="827"/>
      <c r="AH65" s="828"/>
    </row>
    <row r="66" spans="1:34" ht="13.5" customHeight="1" thickBot="1">
      <c r="A66" s="816" t="s">
        <v>1288</v>
      </c>
      <c r="B66" s="817"/>
      <c r="C66" s="817"/>
      <c r="D66" s="817"/>
      <c r="E66" s="817"/>
      <c r="F66" s="817"/>
      <c r="G66" s="817"/>
      <c r="H66" s="817"/>
      <c r="I66" s="817"/>
      <c r="J66" s="817"/>
      <c r="K66" s="817"/>
      <c r="L66" s="817"/>
      <c r="M66" s="818"/>
      <c r="P66" s="805" t="s">
        <v>1302</v>
      </c>
      <c r="Q66" s="816" t="s">
        <v>1288</v>
      </c>
      <c r="R66" s="817"/>
      <c r="S66" s="817"/>
      <c r="T66" s="817"/>
      <c r="U66" s="817"/>
      <c r="V66" s="817"/>
      <c r="W66" s="817"/>
      <c r="X66" s="817"/>
      <c r="Y66" s="817"/>
      <c r="Z66" s="817"/>
      <c r="AA66" s="817"/>
      <c r="AB66" s="817"/>
      <c r="AC66" s="817"/>
      <c r="AD66" s="817"/>
      <c r="AE66" s="819"/>
      <c r="AF66" s="819"/>
      <c r="AG66" s="819"/>
      <c r="AH66" s="820"/>
    </row>
    <row r="67" spans="1:34" ht="28.5" customHeight="1" thickBot="1">
      <c r="A67" s="839" t="s">
        <v>1293</v>
      </c>
      <c r="B67" s="825" t="s">
        <v>1306</v>
      </c>
      <c r="C67" s="824" t="s">
        <v>1307</v>
      </c>
      <c r="D67" s="825" t="s">
        <v>1304</v>
      </c>
      <c r="E67" s="824" t="s">
        <v>1305</v>
      </c>
      <c r="F67" s="825" t="s">
        <v>1311</v>
      </c>
      <c r="G67" s="824" t="s">
        <v>1312</v>
      </c>
      <c r="H67" s="825" t="s">
        <v>1319</v>
      </c>
      <c r="I67" s="824" t="s">
        <v>1320</v>
      </c>
      <c r="J67" s="825" t="s">
        <v>1321</v>
      </c>
      <c r="K67" s="824" t="s">
        <v>1322</v>
      </c>
      <c r="L67" s="829" t="s">
        <v>1323</v>
      </c>
      <c r="M67" s="807" t="s">
        <v>1324</v>
      </c>
      <c r="P67" s="831" t="s">
        <v>1297</v>
      </c>
      <c r="Q67" s="821" t="s">
        <v>226</v>
      </c>
      <c r="R67" s="822"/>
      <c r="S67" s="823"/>
      <c r="T67" s="816" t="s">
        <v>206</v>
      </c>
      <c r="U67" s="817"/>
      <c r="V67" s="818"/>
      <c r="W67" s="816" t="s">
        <v>222</v>
      </c>
      <c r="X67" s="817"/>
      <c r="Y67" s="818"/>
      <c r="Z67" s="817" t="s">
        <v>223</v>
      </c>
      <c r="AA67" s="817"/>
      <c r="AB67" s="818"/>
      <c r="AC67" s="816" t="s">
        <v>225</v>
      </c>
      <c r="AD67" s="817"/>
      <c r="AE67" s="818"/>
      <c r="AF67" s="817" t="s">
        <v>224</v>
      </c>
      <c r="AG67" s="817"/>
      <c r="AH67" s="818"/>
    </row>
    <row r="68" spans="1:34" ht="29.25" customHeight="1" thickBot="1">
      <c r="A68" s="815"/>
      <c r="B68" s="810"/>
      <c r="C68" s="808"/>
      <c r="D68" s="810"/>
      <c r="E68" s="808"/>
      <c r="F68" s="810" t="s">
        <v>1294</v>
      </c>
      <c r="G68" s="808" t="s">
        <v>1294</v>
      </c>
      <c r="H68" s="810" t="s">
        <v>1294</v>
      </c>
      <c r="I68" s="808" t="s">
        <v>1294</v>
      </c>
      <c r="J68" s="810" t="s">
        <v>1294</v>
      </c>
      <c r="K68" s="808" t="s">
        <v>1294</v>
      </c>
      <c r="L68" s="830" t="s">
        <v>1294</v>
      </c>
      <c r="M68" s="808" t="s">
        <v>1294</v>
      </c>
      <c r="P68" s="806"/>
      <c r="Q68" s="563" t="s">
        <v>1294</v>
      </c>
      <c r="R68" s="564" t="s">
        <v>1295</v>
      </c>
      <c r="S68" s="565" t="s">
        <v>1296</v>
      </c>
      <c r="T68" s="509" t="s">
        <v>1294</v>
      </c>
      <c r="U68" s="510" t="s">
        <v>1295</v>
      </c>
      <c r="V68" s="511" t="s">
        <v>1296</v>
      </c>
      <c r="W68" s="509" t="s">
        <v>1294</v>
      </c>
      <c r="X68" s="510" t="s">
        <v>1295</v>
      </c>
      <c r="Y68" s="511" t="s">
        <v>1296</v>
      </c>
      <c r="Z68" s="512" t="s">
        <v>1294</v>
      </c>
      <c r="AA68" s="510" t="s">
        <v>1295</v>
      </c>
      <c r="AB68" s="511" t="s">
        <v>1296</v>
      </c>
      <c r="AC68" s="509" t="s">
        <v>1294</v>
      </c>
      <c r="AD68" s="510" t="s">
        <v>1295</v>
      </c>
      <c r="AE68" s="511" t="s">
        <v>1296</v>
      </c>
      <c r="AF68" s="512" t="s">
        <v>1294</v>
      </c>
      <c r="AG68" s="510" t="s">
        <v>1295</v>
      </c>
      <c r="AH68" s="511" t="s">
        <v>1296</v>
      </c>
    </row>
    <row r="69" spans="1:34" ht="14">
      <c r="A69" s="98" t="s">
        <v>2285</v>
      </c>
      <c r="B69" s="513"/>
      <c r="C69" s="514"/>
      <c r="D69" s="515">
        <f t="shared" ref="D69:D87" si="3">T69*$C36</f>
        <v>0</v>
      </c>
      <c r="E69" s="516">
        <f t="shared" ref="E69:E87" si="4">U69*$C36</f>
        <v>0</v>
      </c>
      <c r="F69" s="515">
        <f t="shared" ref="F69:F87" si="5">W69*$C36</f>
        <v>0</v>
      </c>
      <c r="G69" s="516">
        <f t="shared" ref="G69:G87" si="6">X69*$C36</f>
        <v>0</v>
      </c>
      <c r="H69" s="515">
        <f t="shared" ref="H69:H87" si="7">Z69*$C36</f>
        <v>0</v>
      </c>
      <c r="I69" s="516">
        <f t="shared" ref="I69:I87" si="8">AA69*$C36</f>
        <v>0</v>
      </c>
      <c r="J69" s="515">
        <f t="shared" ref="J69:J87" si="9">AC69*$C36</f>
        <v>0</v>
      </c>
      <c r="K69" s="516">
        <f t="shared" ref="K69:K87" si="10">AD69*$C36</f>
        <v>0</v>
      </c>
      <c r="L69" s="517">
        <f t="shared" ref="L69:L87" si="11">AF69*$C36</f>
        <v>0</v>
      </c>
      <c r="M69" s="516">
        <f t="shared" ref="M69:M87" si="12">AG69*$C36</f>
        <v>0</v>
      </c>
      <c r="P69" s="98" t="s">
        <v>2285</v>
      </c>
      <c r="Q69" s="566">
        <v>0</v>
      </c>
      <c r="R69" s="566">
        <v>0</v>
      </c>
      <c r="S69" s="566">
        <v>0</v>
      </c>
      <c r="T69" s="567">
        <v>0</v>
      </c>
      <c r="U69" s="567">
        <v>0</v>
      </c>
      <c r="V69" s="567">
        <v>0</v>
      </c>
      <c r="W69" s="567">
        <v>0</v>
      </c>
      <c r="X69" s="567">
        <v>0</v>
      </c>
      <c r="Y69" s="567">
        <v>0</v>
      </c>
      <c r="Z69" s="567">
        <v>0</v>
      </c>
      <c r="AA69" s="567">
        <v>0</v>
      </c>
      <c r="AB69" s="567">
        <v>0</v>
      </c>
      <c r="AC69" s="567">
        <v>0</v>
      </c>
      <c r="AD69" s="567">
        <v>0</v>
      </c>
      <c r="AE69" s="567">
        <v>0</v>
      </c>
      <c r="AF69" s="567">
        <v>0</v>
      </c>
      <c r="AG69" s="567">
        <v>0</v>
      </c>
      <c r="AH69" s="567">
        <v>0</v>
      </c>
    </row>
    <row r="70" spans="1:34" ht="14">
      <c r="A70" s="518" t="s">
        <v>1262</v>
      </c>
      <c r="B70" s="519"/>
      <c r="C70" s="514"/>
      <c r="D70" s="515">
        <f t="shared" si="3"/>
        <v>0</v>
      </c>
      <c r="E70" s="516">
        <f t="shared" si="4"/>
        <v>0</v>
      </c>
      <c r="F70" s="515">
        <f t="shared" si="5"/>
        <v>0</v>
      </c>
      <c r="G70" s="516">
        <f t="shared" si="6"/>
        <v>0</v>
      </c>
      <c r="H70" s="515">
        <f t="shared" si="7"/>
        <v>0</v>
      </c>
      <c r="I70" s="516">
        <f t="shared" si="8"/>
        <v>0</v>
      </c>
      <c r="J70" s="515">
        <f t="shared" si="9"/>
        <v>0</v>
      </c>
      <c r="K70" s="516">
        <f t="shared" si="10"/>
        <v>0</v>
      </c>
      <c r="L70" s="517">
        <f t="shared" si="11"/>
        <v>0</v>
      </c>
      <c r="M70" s="516">
        <f t="shared" si="12"/>
        <v>0</v>
      </c>
      <c r="P70" s="568" t="s">
        <v>1262</v>
      </c>
      <c r="Q70" s="566">
        <v>283361</v>
      </c>
      <c r="R70" s="566">
        <v>0</v>
      </c>
      <c r="S70" s="566">
        <v>283361</v>
      </c>
      <c r="T70" s="567">
        <v>0</v>
      </c>
      <c r="U70" s="567">
        <v>0</v>
      </c>
      <c r="V70" s="567">
        <v>0</v>
      </c>
      <c r="W70" s="567">
        <v>0</v>
      </c>
      <c r="X70" s="567">
        <v>0</v>
      </c>
      <c r="Y70" s="567">
        <v>0</v>
      </c>
      <c r="Z70" s="567">
        <v>0</v>
      </c>
      <c r="AA70" s="567">
        <v>0</v>
      </c>
      <c r="AB70" s="567">
        <v>0</v>
      </c>
      <c r="AC70" s="567">
        <v>0</v>
      </c>
      <c r="AD70" s="567">
        <v>0</v>
      </c>
      <c r="AE70" s="567">
        <v>0</v>
      </c>
      <c r="AF70" s="567">
        <v>0</v>
      </c>
      <c r="AG70" s="567">
        <v>0</v>
      </c>
      <c r="AH70" s="567">
        <v>0</v>
      </c>
    </row>
    <row r="71" spans="1:34" ht="14">
      <c r="A71" s="518" t="s">
        <v>1263</v>
      </c>
      <c r="B71" s="519"/>
      <c r="C71" s="514"/>
      <c r="D71" s="515">
        <f t="shared" si="3"/>
        <v>0</v>
      </c>
      <c r="E71" s="516">
        <f t="shared" si="4"/>
        <v>0</v>
      </c>
      <c r="F71" s="515">
        <f t="shared" si="5"/>
        <v>0</v>
      </c>
      <c r="G71" s="516">
        <f t="shared" si="6"/>
        <v>0</v>
      </c>
      <c r="H71" s="515">
        <f t="shared" si="7"/>
        <v>0</v>
      </c>
      <c r="I71" s="516">
        <f t="shared" si="8"/>
        <v>0</v>
      </c>
      <c r="J71" s="515">
        <f t="shared" si="9"/>
        <v>0</v>
      </c>
      <c r="K71" s="516">
        <f t="shared" si="10"/>
        <v>0</v>
      </c>
      <c r="L71" s="517">
        <f t="shared" si="11"/>
        <v>0</v>
      </c>
      <c r="M71" s="516">
        <f t="shared" si="12"/>
        <v>0</v>
      </c>
      <c r="P71" s="568" t="s">
        <v>1263</v>
      </c>
      <c r="Q71" s="566">
        <v>0</v>
      </c>
      <c r="R71" s="566">
        <v>0</v>
      </c>
      <c r="S71" s="566">
        <v>0</v>
      </c>
      <c r="T71" s="567">
        <v>0</v>
      </c>
      <c r="U71" s="567">
        <v>0</v>
      </c>
      <c r="V71" s="567">
        <v>0</v>
      </c>
      <c r="W71" s="567">
        <v>0</v>
      </c>
      <c r="X71" s="567">
        <v>0</v>
      </c>
      <c r="Y71" s="567">
        <v>0</v>
      </c>
      <c r="Z71" s="567">
        <v>0</v>
      </c>
      <c r="AA71" s="567">
        <v>0</v>
      </c>
      <c r="AB71" s="567">
        <v>0</v>
      </c>
      <c r="AC71" s="567">
        <v>0</v>
      </c>
      <c r="AD71" s="567">
        <v>0</v>
      </c>
      <c r="AE71" s="567">
        <v>0</v>
      </c>
      <c r="AF71" s="567">
        <v>0</v>
      </c>
      <c r="AG71" s="567">
        <v>0</v>
      </c>
      <c r="AH71" s="567">
        <v>0</v>
      </c>
    </row>
    <row r="72" spans="1:34" ht="14">
      <c r="A72" s="518" t="s">
        <v>1264</v>
      </c>
      <c r="B72" s="519"/>
      <c r="C72" s="514"/>
      <c r="D72" s="515">
        <f t="shared" si="3"/>
        <v>0</v>
      </c>
      <c r="E72" s="516">
        <f t="shared" si="4"/>
        <v>0</v>
      </c>
      <c r="F72" s="515">
        <f t="shared" si="5"/>
        <v>0</v>
      </c>
      <c r="G72" s="516">
        <f t="shared" si="6"/>
        <v>0</v>
      </c>
      <c r="H72" s="515">
        <f t="shared" si="7"/>
        <v>0</v>
      </c>
      <c r="I72" s="516">
        <f t="shared" si="8"/>
        <v>0</v>
      </c>
      <c r="J72" s="515">
        <f t="shared" si="9"/>
        <v>0</v>
      </c>
      <c r="K72" s="516">
        <f t="shared" si="10"/>
        <v>0</v>
      </c>
      <c r="L72" s="517">
        <f t="shared" si="11"/>
        <v>0</v>
      </c>
      <c r="M72" s="516">
        <f t="shared" si="12"/>
        <v>0</v>
      </c>
      <c r="P72" s="568" t="s">
        <v>1264</v>
      </c>
      <c r="Q72" s="566">
        <v>0</v>
      </c>
      <c r="R72" s="566">
        <v>0</v>
      </c>
      <c r="S72" s="566">
        <v>0</v>
      </c>
      <c r="T72" s="567">
        <v>0</v>
      </c>
      <c r="U72" s="567">
        <v>0</v>
      </c>
      <c r="V72" s="567">
        <v>0</v>
      </c>
      <c r="W72" s="567">
        <v>0</v>
      </c>
      <c r="X72" s="567">
        <v>0</v>
      </c>
      <c r="Y72" s="567">
        <v>0</v>
      </c>
      <c r="Z72" s="567">
        <v>0</v>
      </c>
      <c r="AA72" s="567">
        <v>0</v>
      </c>
      <c r="AB72" s="567">
        <v>0</v>
      </c>
      <c r="AC72" s="567">
        <v>0</v>
      </c>
      <c r="AD72" s="567">
        <v>0</v>
      </c>
      <c r="AE72" s="567">
        <v>0</v>
      </c>
      <c r="AF72" s="567">
        <v>0</v>
      </c>
      <c r="AG72" s="567">
        <v>0</v>
      </c>
      <c r="AH72" s="567">
        <v>0</v>
      </c>
    </row>
    <row r="73" spans="1:34" ht="14">
      <c r="A73" s="518" t="s">
        <v>1265</v>
      </c>
      <c r="B73" s="519"/>
      <c r="C73" s="514"/>
      <c r="D73" s="515">
        <f t="shared" si="3"/>
        <v>0</v>
      </c>
      <c r="E73" s="516">
        <f t="shared" si="4"/>
        <v>12841.861849616702</v>
      </c>
      <c r="F73" s="515">
        <f t="shared" si="5"/>
        <v>0</v>
      </c>
      <c r="G73" s="516">
        <f t="shared" si="6"/>
        <v>0</v>
      </c>
      <c r="H73" s="515">
        <f t="shared" si="7"/>
        <v>0</v>
      </c>
      <c r="I73" s="516">
        <f t="shared" si="8"/>
        <v>0</v>
      </c>
      <c r="J73" s="515">
        <f t="shared" si="9"/>
        <v>0</v>
      </c>
      <c r="K73" s="516">
        <f t="shared" si="10"/>
        <v>0</v>
      </c>
      <c r="L73" s="517">
        <f t="shared" si="11"/>
        <v>0</v>
      </c>
      <c r="M73" s="516">
        <f t="shared" si="12"/>
        <v>0</v>
      </c>
      <c r="P73" s="568" t="s">
        <v>1265</v>
      </c>
      <c r="Q73" s="566">
        <v>0</v>
      </c>
      <c r="R73" s="566">
        <v>5478</v>
      </c>
      <c r="S73" s="566">
        <v>5478</v>
      </c>
      <c r="T73" s="567">
        <v>0</v>
      </c>
      <c r="U73" s="567">
        <v>1109</v>
      </c>
      <c r="V73" s="567">
        <v>1109</v>
      </c>
      <c r="W73" s="567">
        <v>0</v>
      </c>
      <c r="X73" s="567">
        <v>0</v>
      </c>
      <c r="Y73" s="567">
        <v>0</v>
      </c>
      <c r="Z73" s="567">
        <v>0</v>
      </c>
      <c r="AA73" s="567">
        <v>0</v>
      </c>
      <c r="AB73" s="567">
        <v>0</v>
      </c>
      <c r="AC73" s="567">
        <v>0</v>
      </c>
      <c r="AD73" s="567">
        <v>0</v>
      </c>
      <c r="AE73" s="567">
        <v>0</v>
      </c>
      <c r="AF73" s="567">
        <v>0</v>
      </c>
      <c r="AG73" s="567">
        <v>0</v>
      </c>
      <c r="AH73" s="567">
        <v>0</v>
      </c>
    </row>
    <row r="74" spans="1:34" ht="14">
      <c r="A74" s="518" t="s">
        <v>1266</v>
      </c>
      <c r="B74" s="519"/>
      <c r="C74" s="514"/>
      <c r="D74" s="515">
        <f t="shared" si="3"/>
        <v>0</v>
      </c>
      <c r="E74" s="516">
        <f t="shared" si="4"/>
        <v>0</v>
      </c>
      <c r="F74" s="515">
        <f t="shared" si="5"/>
        <v>0</v>
      </c>
      <c r="G74" s="516">
        <f t="shared" si="6"/>
        <v>0</v>
      </c>
      <c r="H74" s="515">
        <f t="shared" si="7"/>
        <v>0</v>
      </c>
      <c r="I74" s="516">
        <f t="shared" si="8"/>
        <v>0</v>
      </c>
      <c r="J74" s="515">
        <f t="shared" si="9"/>
        <v>0</v>
      </c>
      <c r="K74" s="516">
        <f t="shared" si="10"/>
        <v>0</v>
      </c>
      <c r="L74" s="517">
        <f t="shared" si="11"/>
        <v>0</v>
      </c>
      <c r="M74" s="516">
        <f t="shared" si="12"/>
        <v>0</v>
      </c>
      <c r="P74" s="568" t="s">
        <v>1266</v>
      </c>
      <c r="Q74" s="566">
        <v>0</v>
      </c>
      <c r="R74" s="566">
        <v>0</v>
      </c>
      <c r="S74" s="566">
        <v>0</v>
      </c>
      <c r="T74" s="567">
        <v>0</v>
      </c>
      <c r="U74" s="567">
        <v>0</v>
      </c>
      <c r="V74" s="567">
        <v>0</v>
      </c>
      <c r="W74" s="567">
        <v>0</v>
      </c>
      <c r="X74" s="567">
        <v>0</v>
      </c>
      <c r="Y74" s="567">
        <v>0</v>
      </c>
      <c r="Z74" s="567">
        <v>0</v>
      </c>
      <c r="AA74" s="567">
        <v>0</v>
      </c>
      <c r="AB74" s="567">
        <v>0</v>
      </c>
      <c r="AC74" s="567">
        <v>0</v>
      </c>
      <c r="AD74" s="567">
        <v>0</v>
      </c>
      <c r="AE74" s="567">
        <v>0</v>
      </c>
      <c r="AF74" s="567">
        <v>0</v>
      </c>
      <c r="AG74" s="567">
        <v>0</v>
      </c>
      <c r="AH74" s="567">
        <v>0</v>
      </c>
    </row>
    <row r="75" spans="1:34" ht="14">
      <c r="A75" s="518" t="s">
        <v>1267</v>
      </c>
      <c r="B75" s="519"/>
      <c r="C75" s="514"/>
      <c r="D75" s="515">
        <f t="shared" si="3"/>
        <v>0</v>
      </c>
      <c r="E75" s="516">
        <f t="shared" si="4"/>
        <v>0</v>
      </c>
      <c r="F75" s="515">
        <f t="shared" si="5"/>
        <v>0</v>
      </c>
      <c r="G75" s="516">
        <f t="shared" si="6"/>
        <v>0</v>
      </c>
      <c r="H75" s="515">
        <f t="shared" si="7"/>
        <v>0</v>
      </c>
      <c r="I75" s="516">
        <f t="shared" si="8"/>
        <v>0</v>
      </c>
      <c r="J75" s="515">
        <f t="shared" si="9"/>
        <v>0</v>
      </c>
      <c r="K75" s="516">
        <f t="shared" si="10"/>
        <v>0</v>
      </c>
      <c r="L75" s="517">
        <f t="shared" si="11"/>
        <v>0</v>
      </c>
      <c r="M75" s="516">
        <f t="shared" si="12"/>
        <v>0</v>
      </c>
      <c r="O75" s="654" t="s">
        <v>3671</v>
      </c>
      <c r="P75" s="579" t="s">
        <v>1267</v>
      </c>
      <c r="Q75" s="566">
        <v>183383</v>
      </c>
      <c r="R75" s="566">
        <v>237001</v>
      </c>
      <c r="S75" s="566">
        <v>420384</v>
      </c>
      <c r="T75" s="567">
        <v>0</v>
      </c>
      <c r="U75" s="567">
        <v>0</v>
      </c>
      <c r="V75" s="567">
        <v>0</v>
      </c>
      <c r="W75" s="641">
        <v>16469</v>
      </c>
      <c r="X75" s="641">
        <v>0</v>
      </c>
      <c r="Y75" s="641">
        <v>16469</v>
      </c>
      <c r="Z75" s="567">
        <v>0</v>
      </c>
      <c r="AA75" s="567">
        <v>0</v>
      </c>
      <c r="AB75" s="567">
        <v>0</v>
      </c>
      <c r="AC75" s="567">
        <v>0</v>
      </c>
      <c r="AD75" s="567">
        <v>0</v>
      </c>
      <c r="AE75" s="567">
        <v>0</v>
      </c>
      <c r="AF75" s="567">
        <v>0</v>
      </c>
      <c r="AG75" s="567">
        <v>0</v>
      </c>
      <c r="AH75" s="567">
        <v>0</v>
      </c>
    </row>
    <row r="76" spans="1:34" ht="14">
      <c r="A76" s="520" t="s">
        <v>1268</v>
      </c>
      <c r="B76" s="521"/>
      <c r="C76" s="514"/>
      <c r="D76" s="515">
        <f t="shared" si="3"/>
        <v>0</v>
      </c>
      <c r="E76" s="516">
        <f t="shared" si="4"/>
        <v>0</v>
      </c>
      <c r="F76" s="515">
        <f t="shared" si="5"/>
        <v>0</v>
      </c>
      <c r="G76" s="516">
        <f t="shared" si="6"/>
        <v>0</v>
      </c>
      <c r="H76" s="515">
        <f t="shared" si="7"/>
        <v>0</v>
      </c>
      <c r="I76" s="516">
        <f t="shared" si="8"/>
        <v>0</v>
      </c>
      <c r="J76" s="515">
        <f t="shared" si="9"/>
        <v>0</v>
      </c>
      <c r="K76" s="516">
        <f t="shared" si="10"/>
        <v>0</v>
      </c>
      <c r="L76" s="517">
        <f t="shared" si="11"/>
        <v>0</v>
      </c>
      <c r="M76" s="516">
        <f t="shared" si="12"/>
        <v>0</v>
      </c>
      <c r="O76" s="654" t="s">
        <v>3670</v>
      </c>
      <c r="P76" s="99" t="s">
        <v>1268</v>
      </c>
      <c r="Q76" s="566">
        <v>179790</v>
      </c>
      <c r="R76" s="566">
        <v>3262</v>
      </c>
      <c r="S76" s="566">
        <v>183052</v>
      </c>
      <c r="T76" s="567">
        <v>200851</v>
      </c>
      <c r="U76" s="567">
        <v>9693</v>
      </c>
      <c r="V76" s="567">
        <v>210544</v>
      </c>
      <c r="W76" s="567">
        <v>107317</v>
      </c>
      <c r="X76" s="567">
        <v>0</v>
      </c>
      <c r="Y76" s="567">
        <v>107317</v>
      </c>
      <c r="Z76" s="567">
        <v>0</v>
      </c>
      <c r="AA76" s="567">
        <v>0</v>
      </c>
      <c r="AB76" s="567">
        <v>0</v>
      </c>
      <c r="AC76" s="567">
        <v>3930</v>
      </c>
      <c r="AD76" s="567">
        <v>0</v>
      </c>
      <c r="AE76" s="567">
        <v>3930</v>
      </c>
      <c r="AF76" s="567">
        <v>3880</v>
      </c>
      <c r="AG76" s="567">
        <v>0</v>
      </c>
      <c r="AH76" s="567">
        <v>3880</v>
      </c>
    </row>
    <row r="77" spans="1:34" ht="14">
      <c r="A77" s="520" t="s">
        <v>1269</v>
      </c>
      <c r="B77" s="521"/>
      <c r="C77" s="514"/>
      <c r="D77" s="515">
        <f t="shared" si="3"/>
        <v>0</v>
      </c>
      <c r="E77" s="516">
        <f t="shared" si="4"/>
        <v>0</v>
      </c>
      <c r="F77" s="515">
        <f t="shared" si="5"/>
        <v>0</v>
      </c>
      <c r="G77" s="516">
        <f t="shared" si="6"/>
        <v>0</v>
      </c>
      <c r="H77" s="515">
        <f t="shared" si="7"/>
        <v>0</v>
      </c>
      <c r="I77" s="516">
        <f t="shared" si="8"/>
        <v>0</v>
      </c>
      <c r="J77" s="515">
        <f t="shared" si="9"/>
        <v>0</v>
      </c>
      <c r="K77" s="516">
        <f t="shared" si="10"/>
        <v>0</v>
      </c>
      <c r="L77" s="517">
        <f t="shared" si="11"/>
        <v>0</v>
      </c>
      <c r="M77" s="516">
        <f t="shared" si="12"/>
        <v>0</v>
      </c>
      <c r="P77" s="99" t="s">
        <v>1269</v>
      </c>
      <c r="Q77" s="566">
        <v>0</v>
      </c>
      <c r="R77" s="566">
        <v>0</v>
      </c>
      <c r="S77" s="566">
        <v>0</v>
      </c>
      <c r="T77" s="567">
        <v>0</v>
      </c>
      <c r="U77" s="567">
        <v>0</v>
      </c>
      <c r="V77" s="567">
        <v>0</v>
      </c>
      <c r="W77" s="567">
        <v>0</v>
      </c>
      <c r="X77" s="567">
        <v>0</v>
      </c>
      <c r="Y77" s="567">
        <v>0</v>
      </c>
      <c r="Z77" s="567">
        <v>0</v>
      </c>
      <c r="AA77" s="567">
        <v>0</v>
      </c>
      <c r="AB77" s="567">
        <v>0</v>
      </c>
      <c r="AC77" s="567">
        <v>0</v>
      </c>
      <c r="AD77" s="567">
        <v>0</v>
      </c>
      <c r="AE77" s="567">
        <v>0</v>
      </c>
      <c r="AF77" s="567">
        <v>0</v>
      </c>
      <c r="AG77" s="567">
        <v>0</v>
      </c>
      <c r="AH77" s="567">
        <v>0</v>
      </c>
    </row>
    <row r="78" spans="1:34" ht="14">
      <c r="A78" s="518" t="s">
        <v>1270</v>
      </c>
      <c r="B78" s="519"/>
      <c r="C78" s="514"/>
      <c r="D78" s="515">
        <f t="shared" si="3"/>
        <v>0</v>
      </c>
      <c r="E78" s="516">
        <f t="shared" si="4"/>
        <v>0</v>
      </c>
      <c r="F78" s="515">
        <f t="shared" si="5"/>
        <v>0</v>
      </c>
      <c r="G78" s="516">
        <f t="shared" si="6"/>
        <v>0</v>
      </c>
      <c r="H78" s="515">
        <f t="shared" si="7"/>
        <v>0</v>
      </c>
      <c r="I78" s="516">
        <f t="shared" si="8"/>
        <v>0</v>
      </c>
      <c r="J78" s="515">
        <f t="shared" si="9"/>
        <v>0</v>
      </c>
      <c r="K78" s="516">
        <f t="shared" si="10"/>
        <v>0</v>
      </c>
      <c r="L78" s="517">
        <f t="shared" si="11"/>
        <v>0</v>
      </c>
      <c r="M78" s="516">
        <f t="shared" si="12"/>
        <v>0</v>
      </c>
      <c r="P78" s="568" t="s">
        <v>1270</v>
      </c>
      <c r="Q78" s="566">
        <v>0</v>
      </c>
      <c r="R78" s="566">
        <v>0</v>
      </c>
      <c r="S78" s="566">
        <v>0</v>
      </c>
      <c r="T78" s="567">
        <v>0</v>
      </c>
      <c r="U78" s="567">
        <v>0</v>
      </c>
      <c r="V78" s="567">
        <v>0</v>
      </c>
      <c r="W78" s="567">
        <v>0</v>
      </c>
      <c r="X78" s="567">
        <v>0</v>
      </c>
      <c r="Y78" s="567">
        <v>0</v>
      </c>
      <c r="Z78" s="567">
        <v>0</v>
      </c>
      <c r="AA78" s="567">
        <v>0</v>
      </c>
      <c r="AB78" s="567">
        <v>0</v>
      </c>
      <c r="AC78" s="567">
        <v>0</v>
      </c>
      <c r="AD78" s="567">
        <v>0</v>
      </c>
      <c r="AE78" s="567">
        <v>0</v>
      </c>
      <c r="AF78" s="567">
        <v>0</v>
      </c>
      <c r="AG78" s="567">
        <v>0</v>
      </c>
      <c r="AH78" s="567">
        <v>0</v>
      </c>
    </row>
    <row r="79" spans="1:34" ht="14">
      <c r="A79" s="518" t="s">
        <v>1271</v>
      </c>
      <c r="B79" s="519"/>
      <c r="C79" s="514"/>
      <c r="D79" s="515">
        <f t="shared" si="3"/>
        <v>0</v>
      </c>
      <c r="E79" s="516">
        <f t="shared" si="4"/>
        <v>0</v>
      </c>
      <c r="F79" s="515">
        <f t="shared" si="5"/>
        <v>0</v>
      </c>
      <c r="G79" s="516">
        <f t="shared" si="6"/>
        <v>0</v>
      </c>
      <c r="H79" s="515">
        <f t="shared" si="7"/>
        <v>4238.1618006850431</v>
      </c>
      <c r="I79" s="516">
        <f t="shared" si="8"/>
        <v>0</v>
      </c>
      <c r="J79" s="515">
        <f t="shared" si="9"/>
        <v>0</v>
      </c>
      <c r="K79" s="516">
        <f t="shared" si="10"/>
        <v>0</v>
      </c>
      <c r="L79" s="517">
        <f t="shared" si="11"/>
        <v>0</v>
      </c>
      <c r="M79" s="516">
        <f t="shared" si="12"/>
        <v>0</v>
      </c>
      <c r="P79" s="568" t="s">
        <v>1271</v>
      </c>
      <c r="Q79" s="566">
        <v>5340</v>
      </c>
      <c r="R79" s="566">
        <v>0</v>
      </c>
      <c r="S79" s="566">
        <v>5340</v>
      </c>
      <c r="T79" s="567">
        <v>0</v>
      </c>
      <c r="U79" s="567">
        <v>0</v>
      </c>
      <c r="V79" s="567">
        <v>0</v>
      </c>
      <c r="W79" s="567">
        <v>0</v>
      </c>
      <c r="X79" s="567">
        <v>0</v>
      </c>
      <c r="Y79" s="567">
        <v>0</v>
      </c>
      <c r="Z79" s="567">
        <v>366</v>
      </c>
      <c r="AA79" s="567">
        <v>0</v>
      </c>
      <c r="AB79" s="567">
        <v>366</v>
      </c>
      <c r="AC79" s="567">
        <v>0</v>
      </c>
      <c r="AD79" s="567">
        <v>0</v>
      </c>
      <c r="AE79" s="567">
        <v>0</v>
      </c>
      <c r="AF79" s="567">
        <v>0</v>
      </c>
      <c r="AG79" s="567">
        <v>0</v>
      </c>
      <c r="AH79" s="567">
        <v>0</v>
      </c>
    </row>
    <row r="80" spans="1:34" ht="14">
      <c r="A80" s="518" t="s">
        <v>1272</v>
      </c>
      <c r="B80" s="519"/>
      <c r="C80" s="514"/>
      <c r="D80" s="515">
        <f t="shared" si="3"/>
        <v>0</v>
      </c>
      <c r="E80" s="516">
        <f t="shared" si="4"/>
        <v>0</v>
      </c>
      <c r="F80" s="515">
        <f t="shared" si="5"/>
        <v>0</v>
      </c>
      <c r="G80" s="516">
        <f t="shared" si="6"/>
        <v>0</v>
      </c>
      <c r="H80" s="515">
        <f t="shared" si="7"/>
        <v>0</v>
      </c>
      <c r="I80" s="516">
        <f t="shared" si="8"/>
        <v>0</v>
      </c>
      <c r="J80" s="515">
        <f t="shared" si="9"/>
        <v>0</v>
      </c>
      <c r="K80" s="516">
        <f t="shared" si="10"/>
        <v>0</v>
      </c>
      <c r="L80" s="517">
        <f t="shared" si="11"/>
        <v>0</v>
      </c>
      <c r="M80" s="516">
        <f t="shared" si="12"/>
        <v>0</v>
      </c>
      <c r="P80" s="568" t="s">
        <v>1272</v>
      </c>
      <c r="Q80" s="566">
        <v>0</v>
      </c>
      <c r="R80" s="566">
        <v>0</v>
      </c>
      <c r="S80" s="566">
        <v>0</v>
      </c>
      <c r="T80" s="567">
        <v>0</v>
      </c>
      <c r="U80" s="567">
        <v>0</v>
      </c>
      <c r="V80" s="567">
        <v>0</v>
      </c>
      <c r="W80" s="567">
        <v>0</v>
      </c>
      <c r="X80" s="567">
        <v>0</v>
      </c>
      <c r="Y80" s="567">
        <v>0</v>
      </c>
      <c r="Z80" s="567">
        <v>0</v>
      </c>
      <c r="AA80" s="567">
        <v>0</v>
      </c>
      <c r="AB80" s="567">
        <v>0</v>
      </c>
      <c r="AC80" s="567">
        <v>0</v>
      </c>
      <c r="AD80" s="567">
        <v>0</v>
      </c>
      <c r="AE80" s="567">
        <v>0</v>
      </c>
      <c r="AF80" s="567">
        <v>0</v>
      </c>
      <c r="AG80" s="567">
        <v>0</v>
      </c>
      <c r="AH80" s="567">
        <v>0</v>
      </c>
    </row>
    <row r="81" spans="1:36" ht="14">
      <c r="A81" s="518" t="s">
        <v>1273</v>
      </c>
      <c r="B81" s="519"/>
      <c r="C81" s="514"/>
      <c r="D81" s="515">
        <f t="shared" si="3"/>
        <v>0</v>
      </c>
      <c r="E81" s="516">
        <f t="shared" si="4"/>
        <v>0</v>
      </c>
      <c r="F81" s="515">
        <f t="shared" si="5"/>
        <v>0</v>
      </c>
      <c r="G81" s="516">
        <f t="shared" si="6"/>
        <v>0</v>
      </c>
      <c r="H81" s="515">
        <f t="shared" si="7"/>
        <v>0</v>
      </c>
      <c r="I81" s="516">
        <f t="shared" si="8"/>
        <v>0</v>
      </c>
      <c r="J81" s="515">
        <f t="shared" si="9"/>
        <v>0</v>
      </c>
      <c r="K81" s="516">
        <f t="shared" si="10"/>
        <v>0</v>
      </c>
      <c r="L81" s="517">
        <f t="shared" si="11"/>
        <v>0</v>
      </c>
      <c r="M81" s="516">
        <f t="shared" si="12"/>
        <v>0</v>
      </c>
      <c r="P81" s="568" t="s">
        <v>1273</v>
      </c>
      <c r="Q81" s="566">
        <v>0</v>
      </c>
      <c r="R81" s="566">
        <v>112629</v>
      </c>
      <c r="S81" s="566">
        <v>112629</v>
      </c>
      <c r="T81" s="567">
        <v>0</v>
      </c>
      <c r="U81" s="567">
        <v>0</v>
      </c>
      <c r="V81" s="567">
        <v>0</v>
      </c>
      <c r="W81" s="567">
        <v>0</v>
      </c>
      <c r="X81" s="567">
        <v>0</v>
      </c>
      <c r="Y81" s="567">
        <v>0</v>
      </c>
      <c r="Z81" s="567">
        <v>0</v>
      </c>
      <c r="AA81" s="567">
        <v>0</v>
      </c>
      <c r="AB81" s="567">
        <v>0</v>
      </c>
      <c r="AC81" s="567">
        <v>0</v>
      </c>
      <c r="AD81" s="567">
        <v>0</v>
      </c>
      <c r="AE81" s="567">
        <v>0</v>
      </c>
      <c r="AF81" s="567">
        <v>0</v>
      </c>
      <c r="AG81" s="567">
        <v>0</v>
      </c>
      <c r="AH81" s="567">
        <v>0</v>
      </c>
    </row>
    <row r="82" spans="1:36" ht="14">
      <c r="A82" s="518" t="s">
        <v>1274</v>
      </c>
      <c r="B82" s="519"/>
      <c r="C82" s="514"/>
      <c r="D82" s="515">
        <f t="shared" si="3"/>
        <v>0</v>
      </c>
      <c r="E82" s="516">
        <f t="shared" si="4"/>
        <v>0</v>
      </c>
      <c r="F82" s="515">
        <f t="shared" si="5"/>
        <v>0</v>
      </c>
      <c r="G82" s="516">
        <f t="shared" si="6"/>
        <v>0</v>
      </c>
      <c r="H82" s="515">
        <f t="shared" si="7"/>
        <v>0</v>
      </c>
      <c r="I82" s="516">
        <f t="shared" si="8"/>
        <v>0</v>
      </c>
      <c r="J82" s="515">
        <f t="shared" si="9"/>
        <v>0</v>
      </c>
      <c r="K82" s="516">
        <f t="shared" si="10"/>
        <v>0</v>
      </c>
      <c r="L82" s="517">
        <f t="shared" si="11"/>
        <v>0</v>
      </c>
      <c r="M82" s="516">
        <f t="shared" si="12"/>
        <v>0</v>
      </c>
      <c r="P82" s="568" t="s">
        <v>1274</v>
      </c>
      <c r="Q82" s="566">
        <v>15449589</v>
      </c>
      <c r="R82" s="566">
        <v>0</v>
      </c>
      <c r="S82" s="566">
        <v>15449589</v>
      </c>
      <c r="T82" s="567">
        <v>1586083</v>
      </c>
      <c r="U82" s="567">
        <v>0</v>
      </c>
      <c r="V82" s="567">
        <v>1586083</v>
      </c>
      <c r="W82" s="567">
        <v>2410</v>
      </c>
      <c r="X82" s="567">
        <v>0</v>
      </c>
      <c r="Y82" s="567">
        <v>2410</v>
      </c>
      <c r="Z82" s="567">
        <v>0</v>
      </c>
      <c r="AA82" s="567">
        <v>0</v>
      </c>
      <c r="AB82" s="567">
        <v>0</v>
      </c>
      <c r="AC82" s="567">
        <v>0</v>
      </c>
      <c r="AD82" s="567">
        <v>0</v>
      </c>
      <c r="AE82" s="567">
        <v>0</v>
      </c>
      <c r="AF82" s="567">
        <v>178170</v>
      </c>
      <c r="AG82" s="567">
        <v>0</v>
      </c>
      <c r="AH82" s="567">
        <v>178170</v>
      </c>
    </row>
    <row r="83" spans="1:36" ht="14">
      <c r="A83" s="518" t="s">
        <v>1275</v>
      </c>
      <c r="B83" s="519"/>
      <c r="C83" s="514"/>
      <c r="D83" s="515">
        <f t="shared" si="3"/>
        <v>0</v>
      </c>
      <c r="E83" s="516">
        <f t="shared" si="4"/>
        <v>0</v>
      </c>
      <c r="F83" s="515">
        <f t="shared" si="5"/>
        <v>0</v>
      </c>
      <c r="G83" s="516">
        <f t="shared" si="6"/>
        <v>0</v>
      </c>
      <c r="H83" s="515">
        <f t="shared" si="7"/>
        <v>0</v>
      </c>
      <c r="I83" s="516">
        <f t="shared" si="8"/>
        <v>0</v>
      </c>
      <c r="J83" s="515">
        <f t="shared" si="9"/>
        <v>0</v>
      </c>
      <c r="K83" s="516">
        <f t="shared" si="10"/>
        <v>0</v>
      </c>
      <c r="L83" s="517">
        <f t="shared" si="11"/>
        <v>0</v>
      </c>
      <c r="M83" s="516">
        <f t="shared" si="12"/>
        <v>0</v>
      </c>
      <c r="P83" s="568" t="s">
        <v>1275</v>
      </c>
      <c r="Q83" s="566">
        <v>0</v>
      </c>
      <c r="R83" s="566">
        <v>0</v>
      </c>
      <c r="S83" s="566">
        <v>0</v>
      </c>
      <c r="T83" s="567">
        <v>0</v>
      </c>
      <c r="U83" s="567">
        <v>0</v>
      </c>
      <c r="V83" s="567">
        <v>0</v>
      </c>
      <c r="W83" s="567">
        <v>0</v>
      </c>
      <c r="X83" s="567">
        <v>0</v>
      </c>
      <c r="Y83" s="567">
        <v>0</v>
      </c>
      <c r="Z83" s="567">
        <v>0</v>
      </c>
      <c r="AA83" s="567">
        <v>0</v>
      </c>
      <c r="AB83" s="567">
        <v>0</v>
      </c>
      <c r="AC83" s="567">
        <v>0</v>
      </c>
      <c r="AD83" s="567">
        <v>0</v>
      </c>
      <c r="AE83" s="567">
        <v>0</v>
      </c>
      <c r="AF83" s="567">
        <v>0</v>
      </c>
      <c r="AG83" s="567">
        <v>0</v>
      </c>
      <c r="AH83" s="567">
        <v>0</v>
      </c>
    </row>
    <row r="84" spans="1:36" ht="14">
      <c r="A84" s="99" t="s">
        <v>1276</v>
      </c>
      <c r="B84" s="513"/>
      <c r="C84" s="514"/>
      <c r="D84" s="515">
        <f t="shared" si="3"/>
        <v>0</v>
      </c>
      <c r="E84" s="516">
        <f t="shared" si="4"/>
        <v>0</v>
      </c>
      <c r="F84" s="515">
        <f t="shared" si="5"/>
        <v>0</v>
      </c>
      <c r="G84" s="516">
        <f t="shared" si="6"/>
        <v>0</v>
      </c>
      <c r="H84" s="515">
        <f t="shared" si="7"/>
        <v>0</v>
      </c>
      <c r="I84" s="516">
        <f t="shared" si="8"/>
        <v>0</v>
      </c>
      <c r="J84" s="515">
        <f t="shared" si="9"/>
        <v>0</v>
      </c>
      <c r="K84" s="516">
        <f t="shared" si="10"/>
        <v>0</v>
      </c>
      <c r="L84" s="517">
        <f t="shared" si="11"/>
        <v>0</v>
      </c>
      <c r="M84" s="516">
        <f t="shared" si="12"/>
        <v>0</v>
      </c>
      <c r="O84" s="522"/>
      <c r="P84" s="99" t="s">
        <v>1276</v>
      </c>
      <c r="Q84" s="566">
        <v>68125</v>
      </c>
      <c r="R84" s="566">
        <v>659698</v>
      </c>
      <c r="S84" s="566">
        <v>727823</v>
      </c>
      <c r="T84" s="567">
        <v>91838</v>
      </c>
      <c r="U84" s="567">
        <v>24807</v>
      </c>
      <c r="V84" s="567">
        <v>116645</v>
      </c>
      <c r="W84" s="567">
        <v>0</v>
      </c>
      <c r="X84" s="567">
        <v>0</v>
      </c>
      <c r="Y84" s="567">
        <v>0</v>
      </c>
      <c r="Z84" s="567">
        <v>901</v>
      </c>
      <c r="AA84" s="567">
        <v>0</v>
      </c>
      <c r="AB84" s="567">
        <v>901</v>
      </c>
      <c r="AC84" s="567">
        <v>8511</v>
      </c>
      <c r="AD84" s="567">
        <v>0</v>
      </c>
      <c r="AE84" s="567">
        <v>8511</v>
      </c>
      <c r="AF84" s="567">
        <v>0</v>
      </c>
      <c r="AG84" s="567">
        <v>0</v>
      </c>
      <c r="AH84" s="567">
        <v>0</v>
      </c>
    </row>
    <row r="85" spans="1:36" ht="14">
      <c r="A85" s="679" t="s">
        <v>1277</v>
      </c>
      <c r="B85" s="519"/>
      <c r="C85" s="514"/>
      <c r="D85" s="678">
        <f t="shared" si="3"/>
        <v>0</v>
      </c>
      <c r="E85" s="516">
        <f t="shared" si="4"/>
        <v>0</v>
      </c>
      <c r="F85" s="515">
        <f t="shared" si="5"/>
        <v>0</v>
      </c>
      <c r="G85" s="516">
        <f t="shared" si="6"/>
        <v>0</v>
      </c>
      <c r="H85" s="515">
        <f t="shared" si="7"/>
        <v>0</v>
      </c>
      <c r="I85" s="516">
        <f t="shared" si="8"/>
        <v>0</v>
      </c>
      <c r="J85" s="515">
        <f t="shared" si="9"/>
        <v>0</v>
      </c>
      <c r="K85" s="516">
        <f t="shared" si="10"/>
        <v>0</v>
      </c>
      <c r="L85" s="517">
        <f t="shared" si="11"/>
        <v>0</v>
      </c>
      <c r="M85" s="516">
        <f t="shared" si="12"/>
        <v>0</v>
      </c>
      <c r="P85" s="568" t="s">
        <v>1277</v>
      </c>
      <c r="Q85" s="566">
        <v>1011485</v>
      </c>
      <c r="R85" s="566">
        <v>0</v>
      </c>
      <c r="S85" s="566">
        <v>1011485</v>
      </c>
      <c r="T85" s="685">
        <v>0</v>
      </c>
      <c r="U85" s="685">
        <v>0</v>
      </c>
      <c r="V85" s="685">
        <v>0</v>
      </c>
      <c r="W85" s="567">
        <v>0</v>
      </c>
      <c r="X85" s="567">
        <v>0</v>
      </c>
      <c r="Y85" s="567">
        <v>0</v>
      </c>
      <c r="Z85" s="567">
        <v>0</v>
      </c>
      <c r="AA85" s="567">
        <v>0</v>
      </c>
      <c r="AB85" s="567">
        <v>0</v>
      </c>
      <c r="AC85" s="567">
        <v>0</v>
      </c>
      <c r="AD85" s="567">
        <v>0</v>
      </c>
      <c r="AE85" s="567">
        <v>0</v>
      </c>
      <c r="AF85" s="567">
        <v>0</v>
      </c>
      <c r="AG85" s="567">
        <v>0</v>
      </c>
      <c r="AH85" s="567">
        <v>0</v>
      </c>
    </row>
    <row r="86" spans="1:36" ht="14">
      <c r="A86" s="518" t="s">
        <v>1278</v>
      </c>
      <c r="B86" s="519"/>
      <c r="C86" s="514"/>
      <c r="D86" s="515">
        <f t="shared" si="3"/>
        <v>0</v>
      </c>
      <c r="E86" s="516">
        <f t="shared" si="4"/>
        <v>0</v>
      </c>
      <c r="F86" s="515">
        <f t="shared" si="5"/>
        <v>0</v>
      </c>
      <c r="G86" s="516">
        <f t="shared" si="6"/>
        <v>0</v>
      </c>
      <c r="H86" s="515">
        <f t="shared" si="7"/>
        <v>0</v>
      </c>
      <c r="I86" s="516">
        <f t="shared" si="8"/>
        <v>0</v>
      </c>
      <c r="J86" s="515">
        <f t="shared" si="9"/>
        <v>0</v>
      </c>
      <c r="K86" s="516">
        <f t="shared" si="10"/>
        <v>0</v>
      </c>
      <c r="L86" s="517">
        <f t="shared" si="11"/>
        <v>0</v>
      </c>
      <c r="M86" s="516">
        <f t="shared" si="12"/>
        <v>0</v>
      </c>
      <c r="O86" s="522"/>
      <c r="P86" s="568" t="s">
        <v>1278</v>
      </c>
      <c r="Q86" s="566">
        <v>0</v>
      </c>
      <c r="R86" s="566">
        <v>11179</v>
      </c>
      <c r="S86" s="566">
        <v>11179</v>
      </c>
      <c r="T86" s="567">
        <v>0</v>
      </c>
      <c r="U86" s="567">
        <v>0</v>
      </c>
      <c r="V86" s="567">
        <v>0</v>
      </c>
      <c r="W86" s="567">
        <v>0</v>
      </c>
      <c r="X86" s="567">
        <v>0</v>
      </c>
      <c r="Y86" s="567">
        <v>0</v>
      </c>
      <c r="Z86" s="567">
        <v>0</v>
      </c>
      <c r="AA86" s="567">
        <v>0</v>
      </c>
      <c r="AB86" s="567">
        <v>0</v>
      </c>
      <c r="AC86" s="567">
        <v>0</v>
      </c>
      <c r="AD86" s="567">
        <v>0</v>
      </c>
      <c r="AE86" s="567">
        <v>0</v>
      </c>
      <c r="AF86" s="567">
        <v>0</v>
      </c>
      <c r="AG86" s="567">
        <v>0</v>
      </c>
      <c r="AH86" s="567">
        <v>0</v>
      </c>
    </row>
    <row r="87" spans="1:36" ht="14">
      <c r="A87" s="518" t="s">
        <v>1279</v>
      </c>
      <c r="B87" s="519"/>
      <c r="C87" s="514"/>
      <c r="D87" s="515">
        <f t="shared" si="3"/>
        <v>0</v>
      </c>
      <c r="E87" s="516">
        <f t="shared" si="4"/>
        <v>0</v>
      </c>
      <c r="F87" s="515">
        <f t="shared" si="5"/>
        <v>0</v>
      </c>
      <c r="G87" s="516">
        <f t="shared" si="6"/>
        <v>0</v>
      </c>
      <c r="H87" s="515">
        <f t="shared" si="7"/>
        <v>0</v>
      </c>
      <c r="I87" s="516">
        <f t="shared" si="8"/>
        <v>0</v>
      </c>
      <c r="J87" s="515">
        <f t="shared" si="9"/>
        <v>0</v>
      </c>
      <c r="K87" s="516">
        <f t="shared" si="10"/>
        <v>0</v>
      </c>
      <c r="L87" s="517">
        <f t="shared" si="11"/>
        <v>0</v>
      </c>
      <c r="M87" s="516">
        <f t="shared" si="12"/>
        <v>0</v>
      </c>
      <c r="P87" s="568" t="s">
        <v>1279</v>
      </c>
      <c r="Q87" s="566">
        <v>0</v>
      </c>
      <c r="R87" s="566">
        <v>0</v>
      </c>
      <c r="S87" s="566">
        <v>0</v>
      </c>
      <c r="T87" s="567">
        <v>0</v>
      </c>
      <c r="U87" s="567">
        <v>0</v>
      </c>
      <c r="V87" s="567">
        <v>0</v>
      </c>
      <c r="W87" s="567">
        <v>0</v>
      </c>
      <c r="X87" s="567">
        <v>0</v>
      </c>
      <c r="Y87" s="567">
        <v>0</v>
      </c>
      <c r="Z87" s="567">
        <v>0</v>
      </c>
      <c r="AA87" s="567">
        <v>0</v>
      </c>
      <c r="AB87" s="567">
        <v>0</v>
      </c>
      <c r="AC87" s="567">
        <v>0</v>
      </c>
      <c r="AD87" s="567">
        <v>0</v>
      </c>
      <c r="AE87" s="567">
        <v>0</v>
      </c>
      <c r="AF87" s="567">
        <v>0</v>
      </c>
      <c r="AG87" s="567">
        <v>0</v>
      </c>
      <c r="AH87" s="567">
        <v>0</v>
      </c>
    </row>
    <row r="88" spans="1:36" ht="13">
      <c r="P88" s="569" t="s">
        <v>190</v>
      </c>
      <c r="Q88" s="570">
        <v>17181073</v>
      </c>
      <c r="R88" s="570">
        <v>1029247</v>
      </c>
      <c r="S88" s="570">
        <v>18210320</v>
      </c>
      <c r="T88" s="570">
        <v>1878772</v>
      </c>
      <c r="U88" s="570">
        <v>35609</v>
      </c>
      <c r="V88" s="570">
        <v>1914381</v>
      </c>
      <c r="W88" s="570">
        <v>126196</v>
      </c>
      <c r="X88" s="570">
        <v>0</v>
      </c>
      <c r="Y88" s="570">
        <v>126196</v>
      </c>
      <c r="Z88" s="570">
        <v>1267</v>
      </c>
      <c r="AA88" s="570">
        <v>0</v>
      </c>
      <c r="AB88" s="570">
        <v>1267</v>
      </c>
      <c r="AC88" s="570">
        <v>12441</v>
      </c>
      <c r="AD88" s="570">
        <v>0</v>
      </c>
      <c r="AE88" s="570">
        <v>12441</v>
      </c>
      <c r="AF88" s="570">
        <v>182050</v>
      </c>
      <c r="AG88" s="570">
        <v>0</v>
      </c>
      <c r="AH88" s="570">
        <v>182050</v>
      </c>
      <c r="AI88" s="97">
        <f>S88+V88+Y88+AB88+AE88+AH88</f>
        <v>20446655</v>
      </c>
      <c r="AJ88" s="522"/>
    </row>
    <row r="90" spans="1:36" ht="13" thickBot="1"/>
    <row r="91" spans="1:36" ht="13" thickBot="1">
      <c r="A91" s="816" t="s">
        <v>1303</v>
      </c>
      <c r="B91" s="817"/>
      <c r="C91" s="817"/>
      <c r="D91" s="817"/>
      <c r="E91" s="817"/>
      <c r="F91" s="817"/>
      <c r="G91" s="817"/>
      <c r="H91" s="817"/>
      <c r="I91" s="817"/>
      <c r="J91" s="817"/>
      <c r="K91" s="817"/>
      <c r="L91" s="817"/>
      <c r="M91" s="818"/>
      <c r="N91" s="425"/>
      <c r="P91" s="805" t="s">
        <v>1310</v>
      </c>
      <c r="Q91" s="816" t="s">
        <v>1303</v>
      </c>
      <c r="R91" s="817"/>
      <c r="S91" s="817"/>
      <c r="T91" s="817"/>
      <c r="U91" s="817"/>
      <c r="V91" s="817"/>
      <c r="W91" s="817"/>
      <c r="X91" s="817"/>
      <c r="Y91" s="817"/>
      <c r="Z91" s="817"/>
      <c r="AA91" s="817"/>
      <c r="AB91" s="817"/>
      <c r="AC91" s="817"/>
      <c r="AD91" s="817"/>
      <c r="AE91" s="819"/>
      <c r="AF91" s="819"/>
      <c r="AG91" s="819"/>
      <c r="AH91" s="820"/>
    </row>
    <row r="92" spans="1:36" ht="24" customHeight="1" thickBot="1">
      <c r="A92" s="814" t="s">
        <v>1293</v>
      </c>
      <c r="B92" s="809" t="s">
        <v>1289</v>
      </c>
      <c r="C92" s="807" t="s">
        <v>1290</v>
      </c>
      <c r="D92" s="809" t="s">
        <v>1308</v>
      </c>
      <c r="E92" s="807" t="s">
        <v>1309</v>
      </c>
      <c r="F92" s="809" t="s">
        <v>1313</v>
      </c>
      <c r="G92" s="807" t="s">
        <v>1314</v>
      </c>
      <c r="H92" s="809" t="s">
        <v>1325</v>
      </c>
      <c r="I92" s="807" t="s">
        <v>1334</v>
      </c>
      <c r="J92" s="809" t="s">
        <v>1326</v>
      </c>
      <c r="K92" s="807" t="s">
        <v>1327</v>
      </c>
      <c r="L92" s="809" t="s">
        <v>1328</v>
      </c>
      <c r="M92" s="807" t="s">
        <v>1329</v>
      </c>
      <c r="P92" s="831" t="s">
        <v>1297</v>
      </c>
      <c r="Q92" s="816" t="s">
        <v>226</v>
      </c>
      <c r="R92" s="817"/>
      <c r="S92" s="818"/>
      <c r="T92" s="821" t="s">
        <v>206</v>
      </c>
      <c r="U92" s="822"/>
      <c r="V92" s="823"/>
      <c r="W92" s="816" t="s">
        <v>222</v>
      </c>
      <c r="X92" s="817"/>
      <c r="Y92" s="818"/>
      <c r="Z92" s="817" t="s">
        <v>223</v>
      </c>
      <c r="AA92" s="817"/>
      <c r="AB92" s="818"/>
      <c r="AC92" s="816" t="s">
        <v>225</v>
      </c>
      <c r="AD92" s="817"/>
      <c r="AE92" s="818"/>
      <c r="AF92" s="817" t="s">
        <v>224</v>
      </c>
      <c r="AG92" s="817"/>
      <c r="AH92" s="818"/>
    </row>
    <row r="93" spans="1:36" ht="24.75" customHeight="1" thickBot="1">
      <c r="A93" s="815"/>
      <c r="B93" s="810"/>
      <c r="C93" s="808"/>
      <c r="D93" s="810"/>
      <c r="E93" s="808"/>
      <c r="F93" s="810" t="s">
        <v>1294</v>
      </c>
      <c r="G93" s="808" t="s">
        <v>1294</v>
      </c>
      <c r="H93" s="810" t="s">
        <v>1294</v>
      </c>
      <c r="I93" s="808" t="s">
        <v>1294</v>
      </c>
      <c r="J93" s="810" t="s">
        <v>1294</v>
      </c>
      <c r="K93" s="808" t="s">
        <v>1294</v>
      </c>
      <c r="L93" s="810" t="s">
        <v>1294</v>
      </c>
      <c r="M93" s="808" t="s">
        <v>1294</v>
      </c>
      <c r="P93" s="806">
        <v>41132840</v>
      </c>
      <c r="Q93" s="154" t="s">
        <v>1294</v>
      </c>
      <c r="R93" s="48" t="s">
        <v>1295</v>
      </c>
      <c r="S93" s="48" t="s">
        <v>1296</v>
      </c>
      <c r="T93" s="563" t="s">
        <v>1294</v>
      </c>
      <c r="U93" s="564" t="s">
        <v>1295</v>
      </c>
      <c r="V93" s="564" t="s">
        <v>1296</v>
      </c>
      <c r="W93" s="154" t="s">
        <v>1294</v>
      </c>
      <c r="X93" s="48" t="s">
        <v>1295</v>
      </c>
      <c r="Y93" s="48" t="s">
        <v>1296</v>
      </c>
      <c r="Z93" s="525" t="s">
        <v>1294</v>
      </c>
      <c r="AA93" s="48" t="s">
        <v>1295</v>
      </c>
      <c r="AB93" s="48" t="s">
        <v>1296</v>
      </c>
      <c r="AC93" s="154" t="s">
        <v>1294</v>
      </c>
      <c r="AD93" s="48" t="s">
        <v>1295</v>
      </c>
      <c r="AE93" s="48" t="s">
        <v>1296</v>
      </c>
      <c r="AF93" s="525" t="s">
        <v>1294</v>
      </c>
      <c r="AG93" s="48" t="s">
        <v>1295</v>
      </c>
      <c r="AH93" s="48" t="s">
        <v>1296</v>
      </c>
    </row>
    <row r="94" spans="1:36" ht="14">
      <c r="A94" s="98" t="s">
        <v>2285</v>
      </c>
      <c r="B94" s="515">
        <f t="shared" ref="B94:B112" si="13">Q94*$B36</f>
        <v>0</v>
      </c>
      <c r="C94" s="516">
        <f t="shared" ref="C94:C112" si="14">R94*$B36</f>
        <v>0</v>
      </c>
      <c r="D94" s="514"/>
      <c r="E94" s="514"/>
      <c r="F94" s="515">
        <f t="shared" ref="F94:F112" si="15">W94*$B36</f>
        <v>0</v>
      </c>
      <c r="G94" s="516">
        <f t="shared" ref="G94:G112" si="16">X94*$B36</f>
        <v>0</v>
      </c>
      <c r="H94" s="515">
        <f t="shared" ref="H94:H112" si="17">Z94*$B36</f>
        <v>0</v>
      </c>
      <c r="I94" s="516">
        <f t="shared" ref="I94:I112" si="18">AA94*$B36</f>
        <v>0</v>
      </c>
      <c r="J94" s="515">
        <f t="shared" ref="J94:J112" si="19">AC94*$B36</f>
        <v>0</v>
      </c>
      <c r="K94" s="516">
        <f t="shared" ref="K94:K112" si="20">AD94*$B36</f>
        <v>0</v>
      </c>
      <c r="L94" s="515">
        <f t="shared" ref="L94:L112" si="21">AF94*$B36</f>
        <v>0</v>
      </c>
      <c r="M94" s="516">
        <f t="shared" ref="M94:M112" si="22">AG94*$B36</f>
        <v>0</v>
      </c>
      <c r="P94" s="99" t="s">
        <v>2285</v>
      </c>
      <c r="Q94" s="567">
        <v>0</v>
      </c>
      <c r="R94" s="567">
        <v>0</v>
      </c>
      <c r="S94" s="567">
        <v>0</v>
      </c>
      <c r="T94" s="566">
        <v>0</v>
      </c>
      <c r="U94" s="566">
        <v>4767</v>
      </c>
      <c r="V94" s="566">
        <v>4767</v>
      </c>
      <c r="W94" s="567">
        <v>0</v>
      </c>
      <c r="X94" s="567">
        <v>0</v>
      </c>
      <c r="Y94" s="567">
        <v>0</v>
      </c>
      <c r="Z94" s="567">
        <v>0</v>
      </c>
      <c r="AA94" s="567">
        <v>0</v>
      </c>
      <c r="AB94" s="567">
        <v>0</v>
      </c>
      <c r="AC94" s="567">
        <v>0</v>
      </c>
      <c r="AD94" s="567">
        <v>0</v>
      </c>
      <c r="AE94" s="567">
        <v>0</v>
      </c>
      <c r="AF94" s="567">
        <v>0</v>
      </c>
      <c r="AG94" s="567">
        <v>0</v>
      </c>
      <c r="AH94" s="567">
        <v>0</v>
      </c>
      <c r="AI94" s="97"/>
    </row>
    <row r="95" spans="1:36" ht="14">
      <c r="A95" s="518" t="s">
        <v>1262</v>
      </c>
      <c r="B95" s="515">
        <f t="shared" si="13"/>
        <v>0</v>
      </c>
      <c r="C95" s="516">
        <f t="shared" si="14"/>
        <v>0</v>
      </c>
      <c r="D95" s="514"/>
      <c r="E95" s="514"/>
      <c r="F95" s="515">
        <f t="shared" si="15"/>
        <v>0</v>
      </c>
      <c r="G95" s="516">
        <f t="shared" si="16"/>
        <v>0</v>
      </c>
      <c r="H95" s="515">
        <f t="shared" si="17"/>
        <v>0</v>
      </c>
      <c r="I95" s="516">
        <f t="shared" si="18"/>
        <v>0</v>
      </c>
      <c r="J95" s="515">
        <f t="shared" si="19"/>
        <v>0</v>
      </c>
      <c r="K95" s="516">
        <f t="shared" si="20"/>
        <v>0</v>
      </c>
      <c r="L95" s="515">
        <f t="shared" si="21"/>
        <v>0</v>
      </c>
      <c r="M95" s="516">
        <f t="shared" si="22"/>
        <v>0</v>
      </c>
      <c r="P95" s="568" t="s">
        <v>1262</v>
      </c>
      <c r="Q95" s="567">
        <v>0</v>
      </c>
      <c r="R95" s="567">
        <v>0</v>
      </c>
      <c r="S95" s="567">
        <v>0</v>
      </c>
      <c r="T95" s="566">
        <v>0</v>
      </c>
      <c r="U95" s="566">
        <v>0</v>
      </c>
      <c r="V95" s="566">
        <v>0</v>
      </c>
      <c r="W95" s="567">
        <v>0</v>
      </c>
      <c r="X95" s="567">
        <v>0</v>
      </c>
      <c r="Y95" s="567">
        <v>0</v>
      </c>
      <c r="Z95" s="567">
        <v>0</v>
      </c>
      <c r="AA95" s="567">
        <v>0</v>
      </c>
      <c r="AB95" s="567">
        <v>0</v>
      </c>
      <c r="AC95" s="567">
        <v>0</v>
      </c>
      <c r="AD95" s="567">
        <v>0</v>
      </c>
      <c r="AE95" s="567">
        <v>0</v>
      </c>
      <c r="AF95" s="567">
        <v>0</v>
      </c>
      <c r="AG95" s="567">
        <v>0</v>
      </c>
      <c r="AH95" s="567">
        <v>0</v>
      </c>
      <c r="AI95" s="97"/>
    </row>
    <row r="96" spans="1:36" ht="14">
      <c r="A96" s="518" t="s">
        <v>1263</v>
      </c>
      <c r="B96" s="515">
        <f t="shared" si="13"/>
        <v>0</v>
      </c>
      <c r="C96" s="516">
        <f t="shared" si="14"/>
        <v>0</v>
      </c>
      <c r="D96" s="514"/>
      <c r="E96" s="514"/>
      <c r="F96" s="515">
        <f t="shared" si="15"/>
        <v>0</v>
      </c>
      <c r="G96" s="516">
        <f t="shared" si="16"/>
        <v>0</v>
      </c>
      <c r="H96" s="515">
        <f t="shared" si="17"/>
        <v>0</v>
      </c>
      <c r="I96" s="516">
        <f t="shared" si="18"/>
        <v>0</v>
      </c>
      <c r="J96" s="515">
        <f t="shared" si="19"/>
        <v>0</v>
      </c>
      <c r="K96" s="516">
        <f t="shared" si="20"/>
        <v>0</v>
      </c>
      <c r="L96" s="515">
        <f t="shared" si="21"/>
        <v>0</v>
      </c>
      <c r="M96" s="516">
        <f t="shared" si="22"/>
        <v>0</v>
      </c>
      <c r="P96" s="568" t="s">
        <v>1263</v>
      </c>
      <c r="Q96" s="567">
        <v>0</v>
      </c>
      <c r="R96" s="567">
        <v>0</v>
      </c>
      <c r="S96" s="567">
        <v>0</v>
      </c>
      <c r="T96" s="566">
        <v>0</v>
      </c>
      <c r="U96" s="566">
        <v>0</v>
      </c>
      <c r="V96" s="566">
        <v>0</v>
      </c>
      <c r="W96" s="567">
        <v>0</v>
      </c>
      <c r="X96" s="567">
        <v>0</v>
      </c>
      <c r="Y96" s="567">
        <v>0</v>
      </c>
      <c r="Z96" s="567">
        <v>0</v>
      </c>
      <c r="AA96" s="567">
        <v>0</v>
      </c>
      <c r="AB96" s="567">
        <v>0</v>
      </c>
      <c r="AC96" s="567">
        <v>0</v>
      </c>
      <c r="AD96" s="567">
        <v>0</v>
      </c>
      <c r="AE96" s="567">
        <v>0</v>
      </c>
      <c r="AF96" s="567">
        <v>0</v>
      </c>
      <c r="AG96" s="567">
        <v>0</v>
      </c>
      <c r="AH96" s="567">
        <v>0</v>
      </c>
      <c r="AI96" s="97"/>
    </row>
    <row r="97" spans="1:35" ht="14">
      <c r="A97" s="518" t="s">
        <v>1264</v>
      </c>
      <c r="B97" s="515">
        <f t="shared" si="13"/>
        <v>0</v>
      </c>
      <c r="C97" s="516">
        <f t="shared" si="14"/>
        <v>0</v>
      </c>
      <c r="D97" s="514"/>
      <c r="E97" s="514"/>
      <c r="F97" s="515">
        <f t="shared" si="15"/>
        <v>0</v>
      </c>
      <c r="G97" s="516">
        <f t="shared" si="16"/>
        <v>0</v>
      </c>
      <c r="H97" s="515">
        <f t="shared" si="17"/>
        <v>0</v>
      </c>
      <c r="I97" s="516">
        <f t="shared" si="18"/>
        <v>0</v>
      </c>
      <c r="J97" s="515">
        <f t="shared" si="19"/>
        <v>0</v>
      </c>
      <c r="K97" s="516">
        <f t="shared" si="20"/>
        <v>0</v>
      </c>
      <c r="L97" s="515">
        <f t="shared" si="21"/>
        <v>0</v>
      </c>
      <c r="M97" s="516">
        <f t="shared" si="22"/>
        <v>0</v>
      </c>
      <c r="P97" s="568" t="s">
        <v>1264</v>
      </c>
      <c r="Q97" s="567">
        <v>0</v>
      </c>
      <c r="R97" s="567">
        <v>0</v>
      </c>
      <c r="S97" s="567">
        <v>0</v>
      </c>
      <c r="T97" s="566">
        <v>0</v>
      </c>
      <c r="U97" s="566">
        <v>0</v>
      </c>
      <c r="V97" s="566">
        <v>0</v>
      </c>
      <c r="W97" s="567">
        <v>0</v>
      </c>
      <c r="X97" s="567">
        <v>0</v>
      </c>
      <c r="Y97" s="567">
        <v>0</v>
      </c>
      <c r="Z97" s="567">
        <v>0</v>
      </c>
      <c r="AA97" s="567">
        <v>0</v>
      </c>
      <c r="AB97" s="567">
        <v>0</v>
      </c>
      <c r="AC97" s="567">
        <v>0</v>
      </c>
      <c r="AD97" s="567">
        <v>0</v>
      </c>
      <c r="AE97" s="567">
        <v>0</v>
      </c>
      <c r="AF97" s="567">
        <v>0</v>
      </c>
      <c r="AG97" s="567">
        <v>0</v>
      </c>
      <c r="AH97" s="567">
        <v>0</v>
      </c>
      <c r="AI97" s="97"/>
    </row>
    <row r="98" spans="1:35" ht="14">
      <c r="A98" s="518" t="s">
        <v>1265</v>
      </c>
      <c r="B98" s="515">
        <f t="shared" si="13"/>
        <v>0</v>
      </c>
      <c r="C98" s="516">
        <f t="shared" si="14"/>
        <v>0</v>
      </c>
      <c r="D98" s="514"/>
      <c r="E98" s="514"/>
      <c r="F98" s="515">
        <f t="shared" si="15"/>
        <v>0</v>
      </c>
      <c r="G98" s="516">
        <f t="shared" si="16"/>
        <v>0</v>
      </c>
      <c r="H98" s="515">
        <f t="shared" si="17"/>
        <v>0</v>
      </c>
      <c r="I98" s="516">
        <f t="shared" si="18"/>
        <v>0</v>
      </c>
      <c r="J98" s="515">
        <f t="shared" si="19"/>
        <v>0</v>
      </c>
      <c r="K98" s="516">
        <f t="shared" si="20"/>
        <v>0</v>
      </c>
      <c r="L98" s="515">
        <f t="shared" si="21"/>
        <v>0</v>
      </c>
      <c r="M98" s="516">
        <f t="shared" si="22"/>
        <v>0</v>
      </c>
      <c r="P98" s="568" t="s">
        <v>1265</v>
      </c>
      <c r="Q98" s="567">
        <v>0</v>
      </c>
      <c r="R98" s="567">
        <v>0</v>
      </c>
      <c r="S98" s="567">
        <v>0</v>
      </c>
      <c r="T98" s="566">
        <v>0</v>
      </c>
      <c r="U98" s="566">
        <v>66105</v>
      </c>
      <c r="V98" s="566">
        <v>66105</v>
      </c>
      <c r="W98" s="567">
        <v>0</v>
      </c>
      <c r="X98" s="567">
        <v>0</v>
      </c>
      <c r="Y98" s="567">
        <v>0</v>
      </c>
      <c r="Z98" s="567">
        <v>0</v>
      </c>
      <c r="AA98" s="567">
        <v>0</v>
      </c>
      <c r="AB98" s="567">
        <v>0</v>
      </c>
      <c r="AC98" s="567">
        <v>0</v>
      </c>
      <c r="AD98" s="567">
        <v>0</v>
      </c>
      <c r="AE98" s="567">
        <v>0</v>
      </c>
      <c r="AF98" s="567">
        <v>0</v>
      </c>
      <c r="AG98" s="567">
        <v>0</v>
      </c>
      <c r="AH98" s="567">
        <v>0</v>
      </c>
      <c r="AI98" s="97"/>
    </row>
    <row r="99" spans="1:35" ht="14">
      <c r="A99" s="518" t="s">
        <v>1266</v>
      </c>
      <c r="B99" s="515">
        <f t="shared" si="13"/>
        <v>0</v>
      </c>
      <c r="C99" s="516">
        <f t="shared" si="14"/>
        <v>0</v>
      </c>
      <c r="D99" s="514"/>
      <c r="E99" s="514"/>
      <c r="F99" s="515">
        <f t="shared" si="15"/>
        <v>0</v>
      </c>
      <c r="G99" s="516">
        <f t="shared" si="16"/>
        <v>0</v>
      </c>
      <c r="H99" s="515">
        <f t="shared" si="17"/>
        <v>0</v>
      </c>
      <c r="I99" s="516">
        <f t="shared" si="18"/>
        <v>0</v>
      </c>
      <c r="J99" s="515">
        <f t="shared" si="19"/>
        <v>0</v>
      </c>
      <c r="K99" s="516">
        <f t="shared" si="20"/>
        <v>0</v>
      </c>
      <c r="L99" s="515">
        <f t="shared" si="21"/>
        <v>0</v>
      </c>
      <c r="M99" s="516">
        <f t="shared" si="22"/>
        <v>0</v>
      </c>
      <c r="P99" s="568" t="s">
        <v>1266</v>
      </c>
      <c r="Q99" s="567">
        <v>0</v>
      </c>
      <c r="R99" s="567">
        <v>0</v>
      </c>
      <c r="S99" s="567">
        <v>0</v>
      </c>
      <c r="T99" s="566">
        <v>0</v>
      </c>
      <c r="U99" s="566">
        <v>0</v>
      </c>
      <c r="V99" s="566">
        <v>0</v>
      </c>
      <c r="W99" s="567">
        <v>0</v>
      </c>
      <c r="X99" s="567">
        <v>0</v>
      </c>
      <c r="Y99" s="567">
        <v>0</v>
      </c>
      <c r="Z99" s="567">
        <v>0</v>
      </c>
      <c r="AA99" s="567">
        <v>0</v>
      </c>
      <c r="AB99" s="567">
        <v>0</v>
      </c>
      <c r="AC99" s="567">
        <v>0</v>
      </c>
      <c r="AD99" s="567">
        <v>0</v>
      </c>
      <c r="AE99" s="567">
        <v>0</v>
      </c>
      <c r="AF99" s="567">
        <v>0</v>
      </c>
      <c r="AG99" s="567">
        <v>0</v>
      </c>
      <c r="AH99" s="567">
        <v>0</v>
      </c>
      <c r="AI99" s="97"/>
    </row>
    <row r="100" spans="1:35" ht="14">
      <c r="A100" s="518" t="s">
        <v>1267</v>
      </c>
      <c r="B100" s="515">
        <f t="shared" si="13"/>
        <v>0</v>
      </c>
      <c r="C100" s="516">
        <f t="shared" si="14"/>
        <v>0</v>
      </c>
      <c r="D100" s="514"/>
      <c r="E100" s="514"/>
      <c r="F100" s="515">
        <f t="shared" si="15"/>
        <v>0</v>
      </c>
      <c r="G100" s="516">
        <f t="shared" si="16"/>
        <v>0</v>
      </c>
      <c r="H100" s="515">
        <f t="shared" si="17"/>
        <v>0</v>
      </c>
      <c r="I100" s="516">
        <f t="shared" si="18"/>
        <v>0</v>
      </c>
      <c r="J100" s="515">
        <f t="shared" si="19"/>
        <v>0</v>
      </c>
      <c r="K100" s="516">
        <f t="shared" si="20"/>
        <v>0</v>
      </c>
      <c r="L100" s="515">
        <f t="shared" si="21"/>
        <v>0</v>
      </c>
      <c r="M100" s="516">
        <f t="shared" si="22"/>
        <v>0</v>
      </c>
      <c r="O100" s="626" t="s">
        <v>3359</v>
      </c>
      <c r="P100" s="579" t="s">
        <v>1267</v>
      </c>
      <c r="Q100" s="641">
        <v>0</v>
      </c>
      <c r="R100" s="641">
        <v>37035</v>
      </c>
      <c r="S100" s="641">
        <v>37035</v>
      </c>
      <c r="T100" s="566">
        <v>0</v>
      </c>
      <c r="U100" s="566">
        <v>81933</v>
      </c>
      <c r="V100" s="566">
        <v>81933</v>
      </c>
      <c r="W100" s="567">
        <v>0</v>
      </c>
      <c r="X100" s="567">
        <v>0</v>
      </c>
      <c r="Y100" s="567">
        <v>0</v>
      </c>
      <c r="Z100" s="567">
        <v>0</v>
      </c>
      <c r="AA100" s="567">
        <v>0</v>
      </c>
      <c r="AB100" s="567">
        <v>0</v>
      </c>
      <c r="AC100" s="567">
        <v>0</v>
      </c>
      <c r="AD100" s="567">
        <v>0</v>
      </c>
      <c r="AE100" s="567">
        <v>0</v>
      </c>
      <c r="AF100" s="567">
        <v>0</v>
      </c>
      <c r="AG100" s="567">
        <v>0</v>
      </c>
      <c r="AH100" s="567">
        <v>0</v>
      </c>
      <c r="AI100" s="97"/>
    </row>
    <row r="101" spans="1:35" ht="14">
      <c r="A101" s="520" t="s">
        <v>1268</v>
      </c>
      <c r="B101" s="515">
        <f t="shared" si="13"/>
        <v>0</v>
      </c>
      <c r="C101" s="516">
        <f t="shared" si="14"/>
        <v>0</v>
      </c>
      <c r="D101" s="514"/>
      <c r="E101" s="514"/>
      <c r="F101" s="515">
        <f t="shared" si="15"/>
        <v>0</v>
      </c>
      <c r="G101" s="516">
        <f t="shared" si="16"/>
        <v>0</v>
      </c>
      <c r="H101" s="515">
        <f t="shared" si="17"/>
        <v>0</v>
      </c>
      <c r="I101" s="516">
        <f t="shared" si="18"/>
        <v>0</v>
      </c>
      <c r="J101" s="515">
        <f t="shared" si="19"/>
        <v>0</v>
      </c>
      <c r="K101" s="516">
        <f t="shared" si="20"/>
        <v>0</v>
      </c>
      <c r="L101" s="515">
        <f t="shared" si="21"/>
        <v>0</v>
      </c>
      <c r="M101" s="516">
        <f t="shared" si="22"/>
        <v>0</v>
      </c>
      <c r="O101" s="626" t="s">
        <v>3360</v>
      </c>
      <c r="P101" s="99" t="s">
        <v>1268</v>
      </c>
      <c r="Q101" s="567">
        <v>114512</v>
      </c>
      <c r="R101" s="567">
        <v>0</v>
      </c>
      <c r="S101" s="567">
        <v>114512</v>
      </c>
      <c r="T101" s="566">
        <v>783776</v>
      </c>
      <c r="U101" s="566">
        <v>18654</v>
      </c>
      <c r="V101" s="566">
        <v>802430</v>
      </c>
      <c r="W101" s="567">
        <v>144046</v>
      </c>
      <c r="X101" s="567">
        <v>0</v>
      </c>
      <c r="Y101" s="567">
        <v>144046</v>
      </c>
      <c r="Z101" s="567">
        <v>6004</v>
      </c>
      <c r="AA101" s="567">
        <v>0</v>
      </c>
      <c r="AB101" s="567">
        <v>6004</v>
      </c>
      <c r="AC101" s="567">
        <v>55376</v>
      </c>
      <c r="AD101" s="567">
        <v>0</v>
      </c>
      <c r="AE101" s="567">
        <v>55376</v>
      </c>
      <c r="AF101" s="567">
        <v>5891</v>
      </c>
      <c r="AG101" s="567">
        <v>0</v>
      </c>
      <c r="AH101" s="567">
        <v>5891</v>
      </c>
      <c r="AI101" s="97"/>
    </row>
    <row r="102" spans="1:35" ht="14">
      <c r="A102" s="520" t="s">
        <v>1269</v>
      </c>
      <c r="B102" s="515">
        <f t="shared" si="13"/>
        <v>0</v>
      </c>
      <c r="C102" s="516">
        <f t="shared" si="14"/>
        <v>0</v>
      </c>
      <c r="D102" s="514"/>
      <c r="E102" s="514"/>
      <c r="F102" s="515">
        <f t="shared" si="15"/>
        <v>0</v>
      </c>
      <c r="G102" s="516">
        <f t="shared" si="16"/>
        <v>0</v>
      </c>
      <c r="H102" s="515">
        <f t="shared" si="17"/>
        <v>0</v>
      </c>
      <c r="I102" s="516">
        <f t="shared" si="18"/>
        <v>0</v>
      </c>
      <c r="J102" s="515">
        <f t="shared" si="19"/>
        <v>0</v>
      </c>
      <c r="K102" s="516">
        <f t="shared" si="20"/>
        <v>0</v>
      </c>
      <c r="L102" s="515">
        <f t="shared" si="21"/>
        <v>0</v>
      </c>
      <c r="M102" s="516">
        <f t="shared" si="22"/>
        <v>0</v>
      </c>
      <c r="P102" s="99" t="s">
        <v>1269</v>
      </c>
      <c r="Q102" s="567">
        <v>0</v>
      </c>
      <c r="R102" s="567">
        <v>0</v>
      </c>
      <c r="S102" s="567">
        <v>0</v>
      </c>
      <c r="T102" s="566">
        <v>779</v>
      </c>
      <c r="U102" s="566">
        <v>0</v>
      </c>
      <c r="V102" s="566">
        <v>779</v>
      </c>
      <c r="W102" s="567">
        <v>0</v>
      </c>
      <c r="X102" s="567">
        <v>0</v>
      </c>
      <c r="Y102" s="567">
        <v>0</v>
      </c>
      <c r="Z102" s="567">
        <v>0</v>
      </c>
      <c r="AA102" s="567">
        <v>0</v>
      </c>
      <c r="AB102" s="567">
        <v>0</v>
      </c>
      <c r="AC102" s="567">
        <v>0</v>
      </c>
      <c r="AD102" s="567">
        <v>0</v>
      </c>
      <c r="AE102" s="567">
        <v>0</v>
      </c>
      <c r="AF102" s="567">
        <v>0</v>
      </c>
      <c r="AG102" s="567">
        <v>0</v>
      </c>
      <c r="AH102" s="567">
        <v>0</v>
      </c>
      <c r="AI102" s="97"/>
    </row>
    <row r="103" spans="1:35" ht="14">
      <c r="A103" s="518" t="s">
        <v>1270</v>
      </c>
      <c r="B103" s="515">
        <f t="shared" si="13"/>
        <v>0</v>
      </c>
      <c r="C103" s="516">
        <f t="shared" si="14"/>
        <v>0</v>
      </c>
      <c r="D103" s="514"/>
      <c r="E103" s="514"/>
      <c r="F103" s="515">
        <f t="shared" si="15"/>
        <v>0</v>
      </c>
      <c r="G103" s="516">
        <f t="shared" si="16"/>
        <v>0</v>
      </c>
      <c r="H103" s="515">
        <f t="shared" si="17"/>
        <v>0</v>
      </c>
      <c r="I103" s="516">
        <f t="shared" si="18"/>
        <v>0</v>
      </c>
      <c r="J103" s="515">
        <f t="shared" si="19"/>
        <v>0</v>
      </c>
      <c r="K103" s="516">
        <f t="shared" si="20"/>
        <v>0</v>
      </c>
      <c r="L103" s="515">
        <f t="shared" si="21"/>
        <v>0</v>
      </c>
      <c r="M103" s="516">
        <f t="shared" si="22"/>
        <v>0</v>
      </c>
      <c r="P103" s="568" t="s">
        <v>1270</v>
      </c>
      <c r="Q103" s="567">
        <v>0</v>
      </c>
      <c r="R103" s="567">
        <v>0</v>
      </c>
      <c r="S103" s="567">
        <v>0</v>
      </c>
      <c r="T103" s="566">
        <v>0</v>
      </c>
      <c r="U103" s="566">
        <v>0</v>
      </c>
      <c r="V103" s="566">
        <v>0</v>
      </c>
      <c r="W103" s="567">
        <v>0</v>
      </c>
      <c r="X103" s="567">
        <v>0</v>
      </c>
      <c r="Y103" s="567">
        <v>0</v>
      </c>
      <c r="Z103" s="567">
        <v>0</v>
      </c>
      <c r="AA103" s="567">
        <v>0</v>
      </c>
      <c r="AB103" s="567">
        <v>0</v>
      </c>
      <c r="AC103" s="567">
        <v>0</v>
      </c>
      <c r="AD103" s="567">
        <v>0</v>
      </c>
      <c r="AE103" s="567">
        <v>0</v>
      </c>
      <c r="AF103" s="567">
        <v>0</v>
      </c>
      <c r="AG103" s="567">
        <v>0</v>
      </c>
      <c r="AH103" s="567">
        <v>0</v>
      </c>
      <c r="AI103" s="97"/>
    </row>
    <row r="104" spans="1:35" ht="14">
      <c r="A104" s="518" t="s">
        <v>1271</v>
      </c>
      <c r="B104" s="515">
        <f t="shared" si="13"/>
        <v>805594.96653946035</v>
      </c>
      <c r="C104" s="516">
        <f t="shared" si="14"/>
        <v>103644.65903985704</v>
      </c>
      <c r="D104" s="514"/>
      <c r="E104" s="514"/>
      <c r="F104" s="515">
        <f t="shared" si="15"/>
        <v>0</v>
      </c>
      <c r="G104" s="516">
        <f t="shared" si="16"/>
        <v>0</v>
      </c>
      <c r="H104" s="515">
        <f t="shared" si="17"/>
        <v>25465.518191611067</v>
      </c>
      <c r="I104" s="516">
        <f t="shared" si="18"/>
        <v>5361.1617245496982</v>
      </c>
      <c r="J104" s="515">
        <f t="shared" si="19"/>
        <v>56587.062002622064</v>
      </c>
      <c r="K104" s="516">
        <f t="shared" si="20"/>
        <v>0</v>
      </c>
      <c r="L104" s="515">
        <f t="shared" si="21"/>
        <v>0</v>
      </c>
      <c r="M104" s="516">
        <f t="shared" si="22"/>
        <v>0</v>
      </c>
      <c r="P104" s="568" t="s">
        <v>1271</v>
      </c>
      <c r="Q104" s="567">
        <v>60106</v>
      </c>
      <c r="R104" s="567">
        <v>7733</v>
      </c>
      <c r="S104" s="567">
        <v>67839</v>
      </c>
      <c r="T104" s="566">
        <v>22672</v>
      </c>
      <c r="U104" s="566">
        <v>31225</v>
      </c>
      <c r="V104" s="566">
        <v>53897</v>
      </c>
      <c r="W104" s="567">
        <v>0</v>
      </c>
      <c r="X104" s="567">
        <v>0</v>
      </c>
      <c r="Y104" s="567">
        <v>0</v>
      </c>
      <c r="Z104" s="567">
        <v>1900</v>
      </c>
      <c r="AA104" s="567">
        <v>400</v>
      </c>
      <c r="AB104" s="567">
        <v>2300</v>
      </c>
      <c r="AC104" s="567">
        <v>4222</v>
      </c>
      <c r="AD104" s="567">
        <v>0</v>
      </c>
      <c r="AE104" s="567">
        <v>4222</v>
      </c>
      <c r="AF104" s="567">
        <v>0</v>
      </c>
      <c r="AG104" s="567">
        <v>0</v>
      </c>
      <c r="AH104" s="567">
        <v>0</v>
      </c>
      <c r="AI104" s="97"/>
    </row>
    <row r="105" spans="1:35" ht="14">
      <c r="A105" s="518" t="s">
        <v>1272</v>
      </c>
      <c r="B105" s="515">
        <f t="shared" si="13"/>
        <v>0</v>
      </c>
      <c r="C105" s="516">
        <f t="shared" si="14"/>
        <v>0</v>
      </c>
      <c r="D105" s="514"/>
      <c r="E105" s="514"/>
      <c r="F105" s="515">
        <f t="shared" si="15"/>
        <v>0</v>
      </c>
      <c r="G105" s="516">
        <f t="shared" si="16"/>
        <v>0</v>
      </c>
      <c r="H105" s="515">
        <f t="shared" si="17"/>
        <v>0</v>
      </c>
      <c r="I105" s="516">
        <f t="shared" si="18"/>
        <v>0</v>
      </c>
      <c r="J105" s="515">
        <f t="shared" si="19"/>
        <v>0</v>
      </c>
      <c r="K105" s="516">
        <f t="shared" si="20"/>
        <v>0</v>
      </c>
      <c r="L105" s="515">
        <f t="shared" si="21"/>
        <v>0</v>
      </c>
      <c r="M105" s="516">
        <f t="shared" si="22"/>
        <v>0</v>
      </c>
      <c r="P105" s="568" t="s">
        <v>1272</v>
      </c>
      <c r="Q105" s="567">
        <v>0</v>
      </c>
      <c r="R105" s="567">
        <v>0</v>
      </c>
      <c r="S105" s="567">
        <v>0</v>
      </c>
      <c r="T105" s="566">
        <v>556989</v>
      </c>
      <c r="U105" s="566">
        <v>0</v>
      </c>
      <c r="V105" s="566">
        <v>556989</v>
      </c>
      <c r="W105" s="567">
        <v>0</v>
      </c>
      <c r="X105" s="567">
        <v>0</v>
      </c>
      <c r="Y105" s="567">
        <v>0</v>
      </c>
      <c r="Z105" s="567">
        <v>0</v>
      </c>
      <c r="AA105" s="567">
        <v>0</v>
      </c>
      <c r="AB105" s="567">
        <v>0</v>
      </c>
      <c r="AC105" s="567">
        <v>0</v>
      </c>
      <c r="AD105" s="567">
        <v>0</v>
      </c>
      <c r="AE105" s="567">
        <v>0</v>
      </c>
      <c r="AF105" s="567">
        <v>0</v>
      </c>
      <c r="AG105" s="567">
        <v>0</v>
      </c>
      <c r="AH105" s="567">
        <v>0</v>
      </c>
      <c r="AI105" s="97"/>
    </row>
    <row r="106" spans="1:35" ht="15" customHeight="1">
      <c r="A106" s="518" t="s">
        <v>1273</v>
      </c>
      <c r="B106" s="515">
        <f t="shared" si="13"/>
        <v>0</v>
      </c>
      <c r="C106" s="516">
        <f t="shared" si="14"/>
        <v>0</v>
      </c>
      <c r="D106" s="514"/>
      <c r="E106" s="514"/>
      <c r="F106" s="515">
        <f t="shared" si="15"/>
        <v>0</v>
      </c>
      <c r="G106" s="516">
        <f t="shared" si="16"/>
        <v>0</v>
      </c>
      <c r="H106" s="515">
        <f t="shared" si="17"/>
        <v>13902.26009120243</v>
      </c>
      <c r="I106" s="516">
        <f t="shared" si="18"/>
        <v>0</v>
      </c>
      <c r="J106" s="515">
        <f t="shared" si="19"/>
        <v>0</v>
      </c>
      <c r="K106" s="516">
        <f t="shared" si="20"/>
        <v>0</v>
      </c>
      <c r="L106" s="515">
        <f t="shared" si="21"/>
        <v>0</v>
      </c>
      <c r="M106" s="516">
        <f t="shared" si="22"/>
        <v>0</v>
      </c>
      <c r="O106" s="38"/>
      <c r="P106" s="568" t="s">
        <v>1273</v>
      </c>
      <c r="Q106" s="567">
        <v>0</v>
      </c>
      <c r="R106" s="567">
        <v>0</v>
      </c>
      <c r="S106" s="567">
        <v>0</v>
      </c>
      <c r="T106" s="566">
        <v>0</v>
      </c>
      <c r="U106" s="566">
        <v>0</v>
      </c>
      <c r="V106" s="566">
        <v>0</v>
      </c>
      <c r="W106" s="567">
        <v>0</v>
      </c>
      <c r="X106" s="567">
        <v>0</v>
      </c>
      <c r="Y106" s="567">
        <v>0</v>
      </c>
      <c r="Z106" s="567">
        <v>1817</v>
      </c>
      <c r="AA106" s="567">
        <v>0</v>
      </c>
      <c r="AB106" s="567">
        <v>1817</v>
      </c>
      <c r="AC106" s="567">
        <v>0</v>
      </c>
      <c r="AD106" s="567">
        <v>0</v>
      </c>
      <c r="AE106" s="567">
        <v>0</v>
      </c>
      <c r="AF106" s="567">
        <v>0</v>
      </c>
      <c r="AG106" s="567">
        <v>0</v>
      </c>
      <c r="AH106" s="567">
        <v>0</v>
      </c>
      <c r="AI106" s="97"/>
    </row>
    <row r="107" spans="1:35" ht="18" customHeight="1">
      <c r="A107" s="518" t="s">
        <v>1274</v>
      </c>
      <c r="B107" s="515">
        <f t="shared" si="13"/>
        <v>0</v>
      </c>
      <c r="C107" s="516">
        <f t="shared" si="14"/>
        <v>0</v>
      </c>
      <c r="D107" s="514"/>
      <c r="E107" s="514"/>
      <c r="F107" s="515">
        <f t="shared" si="15"/>
        <v>0</v>
      </c>
      <c r="G107" s="516">
        <f t="shared" si="16"/>
        <v>0</v>
      </c>
      <c r="H107" s="515">
        <f t="shared" si="17"/>
        <v>0</v>
      </c>
      <c r="I107" s="516">
        <f t="shared" si="18"/>
        <v>0</v>
      </c>
      <c r="J107" s="515">
        <f t="shared" si="19"/>
        <v>0</v>
      </c>
      <c r="K107" s="516">
        <f t="shared" si="20"/>
        <v>0</v>
      </c>
      <c r="L107" s="515">
        <f t="shared" si="21"/>
        <v>0</v>
      </c>
      <c r="M107" s="516">
        <f t="shared" si="22"/>
        <v>0</v>
      </c>
      <c r="P107" s="568" t="s">
        <v>1274</v>
      </c>
      <c r="Q107" s="567">
        <v>0</v>
      </c>
      <c r="R107" s="567">
        <v>0</v>
      </c>
      <c r="S107" s="567">
        <v>0</v>
      </c>
      <c r="T107" s="566">
        <v>0</v>
      </c>
      <c r="U107" s="566">
        <v>0</v>
      </c>
      <c r="V107" s="566">
        <v>0</v>
      </c>
      <c r="W107" s="567">
        <v>0</v>
      </c>
      <c r="X107" s="567">
        <v>0</v>
      </c>
      <c r="Y107" s="567">
        <v>0</v>
      </c>
      <c r="Z107" s="567">
        <v>0</v>
      </c>
      <c r="AA107" s="567">
        <v>0</v>
      </c>
      <c r="AB107" s="567">
        <v>0</v>
      </c>
      <c r="AC107" s="567">
        <v>0</v>
      </c>
      <c r="AD107" s="567">
        <v>0</v>
      </c>
      <c r="AE107" s="567">
        <v>0</v>
      </c>
      <c r="AF107" s="567">
        <v>0</v>
      </c>
      <c r="AG107" s="567">
        <v>0</v>
      </c>
      <c r="AH107" s="567">
        <v>0</v>
      </c>
      <c r="AI107" s="97"/>
    </row>
    <row r="108" spans="1:35" ht="14">
      <c r="A108" s="518" t="s">
        <v>1275</v>
      </c>
      <c r="B108" s="515">
        <f t="shared" si="13"/>
        <v>0</v>
      </c>
      <c r="C108" s="516">
        <f t="shared" si="14"/>
        <v>0</v>
      </c>
      <c r="D108" s="514"/>
      <c r="E108" s="514"/>
      <c r="F108" s="515">
        <f t="shared" si="15"/>
        <v>0</v>
      </c>
      <c r="G108" s="516">
        <f t="shared" si="16"/>
        <v>0</v>
      </c>
      <c r="H108" s="515">
        <f t="shared" si="17"/>
        <v>7506.885006502961</v>
      </c>
      <c r="I108" s="516">
        <f t="shared" si="18"/>
        <v>0</v>
      </c>
      <c r="J108" s="515">
        <f t="shared" si="19"/>
        <v>0</v>
      </c>
      <c r="K108" s="516">
        <f t="shared" si="20"/>
        <v>0</v>
      </c>
      <c r="L108" s="515">
        <f t="shared" si="21"/>
        <v>0</v>
      </c>
      <c r="M108" s="516">
        <f t="shared" si="22"/>
        <v>0</v>
      </c>
      <c r="P108" s="568" t="s">
        <v>1275</v>
      </c>
      <c r="Q108" s="567">
        <v>0</v>
      </c>
      <c r="R108" s="567">
        <v>0</v>
      </c>
      <c r="S108" s="567">
        <v>0</v>
      </c>
      <c r="T108" s="566">
        <v>0</v>
      </c>
      <c r="U108" s="566">
        <v>0</v>
      </c>
      <c r="V108" s="566">
        <v>0</v>
      </c>
      <c r="W108" s="567">
        <v>0</v>
      </c>
      <c r="X108" s="567">
        <v>0</v>
      </c>
      <c r="Y108" s="567">
        <v>0</v>
      </c>
      <c r="Z108" s="567">
        <v>753</v>
      </c>
      <c r="AA108" s="567">
        <v>0</v>
      </c>
      <c r="AB108" s="567">
        <v>753</v>
      </c>
      <c r="AC108" s="567">
        <v>0</v>
      </c>
      <c r="AD108" s="567">
        <v>0</v>
      </c>
      <c r="AE108" s="567">
        <v>0</v>
      </c>
      <c r="AF108" s="567">
        <v>0</v>
      </c>
      <c r="AG108" s="567">
        <v>0</v>
      </c>
      <c r="AH108" s="567">
        <v>0</v>
      </c>
      <c r="AI108" s="97"/>
    </row>
    <row r="109" spans="1:35" ht="14">
      <c r="A109" s="99" t="s">
        <v>1276</v>
      </c>
      <c r="B109" s="515">
        <f t="shared" si="13"/>
        <v>0</v>
      </c>
      <c r="C109" s="516">
        <f t="shared" si="14"/>
        <v>0</v>
      </c>
      <c r="D109" s="514"/>
      <c r="E109" s="514"/>
      <c r="F109" s="515">
        <f t="shared" si="15"/>
        <v>0</v>
      </c>
      <c r="G109" s="516">
        <f t="shared" si="16"/>
        <v>0</v>
      </c>
      <c r="H109" s="515">
        <f t="shared" si="17"/>
        <v>0</v>
      </c>
      <c r="I109" s="516">
        <f t="shared" si="18"/>
        <v>0</v>
      </c>
      <c r="J109" s="515">
        <f t="shared" si="19"/>
        <v>0</v>
      </c>
      <c r="K109" s="516">
        <f t="shared" si="20"/>
        <v>0</v>
      </c>
      <c r="L109" s="515">
        <f t="shared" si="21"/>
        <v>0</v>
      </c>
      <c r="M109" s="516">
        <f t="shared" si="22"/>
        <v>0</v>
      </c>
      <c r="O109" s="39"/>
      <c r="P109" s="99" t="s">
        <v>1276</v>
      </c>
      <c r="Q109" s="567">
        <v>0</v>
      </c>
      <c r="R109" s="567">
        <v>4257</v>
      </c>
      <c r="S109" s="567">
        <v>4257</v>
      </c>
      <c r="T109" s="566">
        <v>583148</v>
      </c>
      <c r="U109" s="566">
        <v>2584186</v>
      </c>
      <c r="V109" s="566">
        <v>3167334</v>
      </c>
      <c r="W109" s="567">
        <v>0</v>
      </c>
      <c r="X109" s="567">
        <v>0</v>
      </c>
      <c r="Y109" s="567">
        <v>0</v>
      </c>
      <c r="Z109" s="567">
        <v>0</v>
      </c>
      <c r="AA109" s="567">
        <v>0</v>
      </c>
      <c r="AB109" s="567">
        <v>0</v>
      </c>
      <c r="AC109" s="567">
        <v>300</v>
      </c>
      <c r="AD109" s="567">
        <v>13</v>
      </c>
      <c r="AE109" s="567">
        <v>313</v>
      </c>
      <c r="AF109" s="567">
        <v>0</v>
      </c>
      <c r="AG109" s="567">
        <v>0</v>
      </c>
      <c r="AH109" s="567">
        <v>0</v>
      </c>
      <c r="AI109" s="97"/>
    </row>
    <row r="110" spans="1:35" ht="14">
      <c r="A110" s="518" t="s">
        <v>1277</v>
      </c>
      <c r="B110" s="515">
        <f t="shared" si="13"/>
        <v>0</v>
      </c>
      <c r="C110" s="516">
        <f t="shared" si="14"/>
        <v>0</v>
      </c>
      <c r="D110" s="514"/>
      <c r="E110" s="514"/>
      <c r="F110" s="515">
        <f t="shared" si="15"/>
        <v>14832.59250840039</v>
      </c>
      <c r="G110" s="516">
        <f t="shared" si="16"/>
        <v>0</v>
      </c>
      <c r="H110" s="515">
        <f t="shared" si="17"/>
        <v>0</v>
      </c>
      <c r="I110" s="516">
        <f t="shared" si="18"/>
        <v>0</v>
      </c>
      <c r="J110" s="515">
        <f t="shared" si="19"/>
        <v>0</v>
      </c>
      <c r="K110" s="516">
        <f t="shared" si="20"/>
        <v>0</v>
      </c>
      <c r="L110" s="515">
        <f t="shared" si="21"/>
        <v>0</v>
      </c>
      <c r="M110" s="516">
        <f t="shared" si="22"/>
        <v>0</v>
      </c>
      <c r="P110" s="568" t="s">
        <v>1277</v>
      </c>
      <c r="Q110" s="567">
        <v>0</v>
      </c>
      <c r="R110" s="567">
        <v>0</v>
      </c>
      <c r="S110" s="567">
        <v>0</v>
      </c>
      <c r="T110" s="566">
        <v>1067475</v>
      </c>
      <c r="U110" s="566">
        <v>0</v>
      </c>
      <c r="V110" s="566">
        <v>1067475</v>
      </c>
      <c r="W110" s="567">
        <v>819</v>
      </c>
      <c r="X110" s="567">
        <v>0</v>
      </c>
      <c r="Y110" s="567">
        <v>819</v>
      </c>
      <c r="Z110" s="567">
        <v>0</v>
      </c>
      <c r="AA110" s="567">
        <v>0</v>
      </c>
      <c r="AB110" s="567">
        <v>0</v>
      </c>
      <c r="AC110" s="567">
        <v>0</v>
      </c>
      <c r="AD110" s="567">
        <v>0</v>
      </c>
      <c r="AE110" s="567">
        <v>0</v>
      </c>
      <c r="AF110" s="567">
        <v>0</v>
      </c>
      <c r="AG110" s="567">
        <v>0</v>
      </c>
      <c r="AH110" s="567">
        <v>0</v>
      </c>
      <c r="AI110" s="97"/>
    </row>
    <row r="111" spans="1:35" ht="14">
      <c r="A111" s="518" t="s">
        <v>1278</v>
      </c>
      <c r="B111" s="515">
        <f t="shared" si="13"/>
        <v>0</v>
      </c>
      <c r="C111" s="516">
        <f t="shared" si="14"/>
        <v>0</v>
      </c>
      <c r="D111" s="514"/>
      <c r="E111" s="514"/>
      <c r="F111" s="515">
        <f t="shared" si="15"/>
        <v>0</v>
      </c>
      <c r="G111" s="516">
        <f t="shared" si="16"/>
        <v>0</v>
      </c>
      <c r="H111" s="515">
        <f t="shared" si="17"/>
        <v>0</v>
      </c>
      <c r="I111" s="516">
        <f t="shared" si="18"/>
        <v>0</v>
      </c>
      <c r="J111" s="515">
        <f t="shared" si="19"/>
        <v>0</v>
      </c>
      <c r="K111" s="516">
        <f t="shared" si="20"/>
        <v>0</v>
      </c>
      <c r="L111" s="515">
        <f t="shared" si="21"/>
        <v>0</v>
      </c>
      <c r="M111" s="516">
        <f t="shared" si="22"/>
        <v>0</v>
      </c>
      <c r="P111" s="568" t="s">
        <v>1278</v>
      </c>
      <c r="Q111" s="567">
        <v>1489</v>
      </c>
      <c r="R111" s="567">
        <v>1396</v>
      </c>
      <c r="S111" s="567">
        <v>2885</v>
      </c>
      <c r="T111" s="566">
        <v>157245</v>
      </c>
      <c r="U111" s="566">
        <v>53541</v>
      </c>
      <c r="V111" s="566">
        <v>210786</v>
      </c>
      <c r="W111" s="567">
        <v>0</v>
      </c>
      <c r="X111" s="567">
        <v>0</v>
      </c>
      <c r="Y111" s="567">
        <v>0</v>
      </c>
      <c r="Z111" s="567">
        <v>596</v>
      </c>
      <c r="AA111" s="567">
        <v>0</v>
      </c>
      <c r="AB111" s="567">
        <v>596</v>
      </c>
      <c r="AC111" s="567">
        <v>1499</v>
      </c>
      <c r="AD111" s="567">
        <v>49</v>
      </c>
      <c r="AE111" s="567">
        <v>1548</v>
      </c>
      <c r="AF111" s="567">
        <v>0</v>
      </c>
      <c r="AG111" s="567">
        <v>0</v>
      </c>
      <c r="AH111" s="567">
        <v>0</v>
      </c>
      <c r="AI111" s="97"/>
    </row>
    <row r="112" spans="1:35" ht="14">
      <c r="A112" s="518" t="s">
        <v>1279</v>
      </c>
      <c r="B112" s="515">
        <f t="shared" si="13"/>
        <v>1485184.1819213985</v>
      </c>
      <c r="C112" s="516">
        <f t="shared" si="14"/>
        <v>0</v>
      </c>
      <c r="D112" s="514"/>
      <c r="E112" s="514"/>
      <c r="F112" s="515">
        <f t="shared" si="15"/>
        <v>0</v>
      </c>
      <c r="G112" s="516">
        <f t="shared" si="16"/>
        <v>0</v>
      </c>
      <c r="H112" s="515">
        <f t="shared" si="17"/>
        <v>0</v>
      </c>
      <c r="I112" s="516">
        <f t="shared" si="18"/>
        <v>0</v>
      </c>
      <c r="J112" s="515">
        <f t="shared" si="19"/>
        <v>0</v>
      </c>
      <c r="K112" s="516">
        <f t="shared" si="20"/>
        <v>0</v>
      </c>
      <c r="L112" s="515">
        <f t="shared" si="21"/>
        <v>0</v>
      </c>
      <c r="M112" s="516">
        <f t="shared" si="22"/>
        <v>0</v>
      </c>
      <c r="P112" s="568" t="s">
        <v>1279</v>
      </c>
      <c r="Q112" s="567">
        <v>73862</v>
      </c>
      <c r="R112" s="567">
        <v>0</v>
      </c>
      <c r="S112" s="567">
        <v>73862</v>
      </c>
      <c r="T112" s="566">
        <v>0</v>
      </c>
      <c r="U112" s="566">
        <v>919</v>
      </c>
      <c r="V112" s="566">
        <v>919</v>
      </c>
      <c r="W112" s="567">
        <v>0</v>
      </c>
      <c r="X112" s="567">
        <v>0</v>
      </c>
      <c r="Y112" s="567">
        <v>0</v>
      </c>
      <c r="Z112" s="567">
        <v>0</v>
      </c>
      <c r="AA112" s="567">
        <v>0</v>
      </c>
      <c r="AB112" s="567">
        <v>0</v>
      </c>
      <c r="AC112" s="567">
        <v>0</v>
      </c>
      <c r="AD112" s="567">
        <v>0</v>
      </c>
      <c r="AE112" s="567">
        <v>0</v>
      </c>
      <c r="AF112" s="567">
        <v>0</v>
      </c>
      <c r="AG112" s="567">
        <v>0</v>
      </c>
      <c r="AH112" s="567">
        <v>0</v>
      </c>
      <c r="AI112" s="97"/>
    </row>
    <row r="113" spans="1:40" ht="13">
      <c r="P113" s="569" t="s">
        <v>190</v>
      </c>
      <c r="Q113" s="570">
        <v>249969</v>
      </c>
      <c r="R113" s="570">
        <v>50421</v>
      </c>
      <c r="S113" s="570">
        <v>300390</v>
      </c>
      <c r="T113" s="570">
        <v>3172084</v>
      </c>
      <c r="U113" s="570">
        <v>2841330</v>
      </c>
      <c r="V113" s="570">
        <v>6013414</v>
      </c>
      <c r="W113" s="570">
        <v>144865</v>
      </c>
      <c r="X113" s="570">
        <v>0</v>
      </c>
      <c r="Y113" s="570">
        <v>144865</v>
      </c>
      <c r="Z113" s="570">
        <v>11070</v>
      </c>
      <c r="AA113" s="570">
        <v>400</v>
      </c>
      <c r="AB113" s="570">
        <v>11470</v>
      </c>
      <c r="AC113" s="570">
        <v>61397</v>
      </c>
      <c r="AD113" s="570">
        <v>62</v>
      </c>
      <c r="AE113" s="570">
        <v>61459</v>
      </c>
      <c r="AF113" s="570">
        <v>5891</v>
      </c>
      <c r="AG113" s="570">
        <v>0</v>
      </c>
      <c r="AH113" s="570">
        <v>5891</v>
      </c>
      <c r="AI113" s="97">
        <f>S113+V113+Y113+AB113+AE113+AH113</f>
        <v>6537489</v>
      </c>
      <c r="AJ113" s="522"/>
    </row>
    <row r="114" spans="1:40" ht="14">
      <c r="A114" s="526"/>
      <c r="B114" s="526"/>
      <c r="C114" s="45"/>
      <c r="D114" s="45"/>
      <c r="E114" s="45"/>
      <c r="I114" s="45"/>
      <c r="J114" s="45"/>
    </row>
    <row r="115" spans="1:40" ht="14.5" thickBot="1">
      <c r="A115" s="526"/>
      <c r="B115" s="526"/>
      <c r="C115" s="45"/>
      <c r="D115" s="45"/>
      <c r="E115" s="45"/>
      <c r="F115" s="46"/>
      <c r="G115" s="527"/>
      <c r="H115" s="45"/>
      <c r="I115" s="45"/>
      <c r="J115" s="45"/>
    </row>
    <row r="116" spans="1:40" ht="15.75" customHeight="1" thickBot="1">
      <c r="A116" s="816" t="s">
        <v>1317</v>
      </c>
      <c r="B116" s="817"/>
      <c r="C116" s="817"/>
      <c r="D116" s="817"/>
      <c r="E116" s="817"/>
      <c r="F116" s="817"/>
      <c r="G116" s="817"/>
      <c r="H116" s="817"/>
      <c r="I116" s="817"/>
      <c r="J116" s="817"/>
      <c r="K116" s="817"/>
      <c r="L116" s="817"/>
      <c r="M116" s="818"/>
      <c r="P116" s="805" t="s">
        <v>1316</v>
      </c>
      <c r="Q116" s="816" t="s">
        <v>1317</v>
      </c>
      <c r="R116" s="817"/>
      <c r="S116" s="817"/>
      <c r="T116" s="817"/>
      <c r="U116" s="817"/>
      <c r="V116" s="817"/>
      <c r="W116" s="817"/>
      <c r="X116" s="817"/>
      <c r="Y116" s="817"/>
      <c r="Z116" s="817"/>
      <c r="AA116" s="817"/>
      <c r="AB116" s="817"/>
      <c r="AC116" s="817"/>
      <c r="AD116" s="817"/>
      <c r="AE116" s="817"/>
      <c r="AF116" s="817"/>
      <c r="AG116" s="817"/>
      <c r="AH116" s="817"/>
      <c r="AI116" s="817"/>
      <c r="AJ116" s="817"/>
      <c r="AK116" s="817"/>
      <c r="AL116" s="817"/>
      <c r="AM116" s="817"/>
      <c r="AN116" s="818"/>
    </row>
    <row r="117" spans="1:40" ht="32.25" customHeight="1" thickBot="1">
      <c r="A117" s="814" t="s">
        <v>1293</v>
      </c>
      <c r="B117" s="809" t="s">
        <v>1395</v>
      </c>
      <c r="C117" s="807" t="s">
        <v>1330</v>
      </c>
      <c r="D117" s="809" t="s">
        <v>1396</v>
      </c>
      <c r="E117" s="807" t="s">
        <v>1331</v>
      </c>
      <c r="F117" s="809" t="s">
        <v>1397</v>
      </c>
      <c r="G117" s="807" t="s">
        <v>1332</v>
      </c>
      <c r="H117" s="809" t="s">
        <v>1398</v>
      </c>
      <c r="I117" s="807" t="s">
        <v>1333</v>
      </c>
      <c r="J117" s="809" t="s">
        <v>1399</v>
      </c>
      <c r="K117" s="807" t="s">
        <v>1335</v>
      </c>
      <c r="L117" s="809" t="s">
        <v>1400</v>
      </c>
      <c r="M117" s="807" t="s">
        <v>1336</v>
      </c>
      <c r="P117" s="831" t="s">
        <v>1297</v>
      </c>
      <c r="Q117" s="832" t="s">
        <v>226</v>
      </c>
      <c r="R117" s="833"/>
      <c r="S117" s="833"/>
      <c r="T117" s="834"/>
      <c r="U117" s="816" t="s">
        <v>206</v>
      </c>
      <c r="V117" s="817"/>
      <c r="W117" s="817"/>
      <c r="X117" s="818"/>
      <c r="Y117" s="835" t="s">
        <v>222</v>
      </c>
      <c r="Z117" s="836"/>
      <c r="AA117" s="836"/>
      <c r="AB117" s="837"/>
      <c r="AC117" s="816" t="s">
        <v>223</v>
      </c>
      <c r="AD117" s="817"/>
      <c r="AE117" s="817"/>
      <c r="AF117" s="818"/>
      <c r="AG117" s="816" t="s">
        <v>225</v>
      </c>
      <c r="AH117" s="817"/>
      <c r="AI117" s="817"/>
      <c r="AJ117" s="818"/>
      <c r="AK117" s="816" t="s">
        <v>224</v>
      </c>
      <c r="AL117" s="817"/>
      <c r="AM117" s="817"/>
      <c r="AN117" s="818"/>
    </row>
    <row r="118" spans="1:40" ht="25.5" customHeight="1" thickBot="1">
      <c r="A118" s="815"/>
      <c r="B118" s="810"/>
      <c r="C118" s="808"/>
      <c r="D118" s="810"/>
      <c r="E118" s="808"/>
      <c r="F118" s="810" t="s">
        <v>1294</v>
      </c>
      <c r="G118" s="808" t="s">
        <v>1294</v>
      </c>
      <c r="H118" s="810" t="s">
        <v>1294</v>
      </c>
      <c r="I118" s="808" t="s">
        <v>1294</v>
      </c>
      <c r="J118" s="810" t="s">
        <v>1294</v>
      </c>
      <c r="K118" s="808" t="s">
        <v>1294</v>
      </c>
      <c r="L118" s="810" t="s">
        <v>1294</v>
      </c>
      <c r="M118" s="808" t="s">
        <v>1294</v>
      </c>
      <c r="P118" s="806">
        <v>6235455</v>
      </c>
      <c r="Q118" s="154" t="s">
        <v>1294</v>
      </c>
      <c r="R118" s="48" t="s">
        <v>1295</v>
      </c>
      <c r="S118" s="48" t="s">
        <v>1318</v>
      </c>
      <c r="T118" s="155" t="s">
        <v>1296</v>
      </c>
      <c r="U118" s="154" t="s">
        <v>1294</v>
      </c>
      <c r="V118" s="48" t="s">
        <v>1295</v>
      </c>
      <c r="W118" s="48" t="s">
        <v>1318</v>
      </c>
      <c r="X118" s="156" t="s">
        <v>1296</v>
      </c>
      <c r="Y118" s="571" t="s">
        <v>1294</v>
      </c>
      <c r="Z118" s="572" t="s">
        <v>1295</v>
      </c>
      <c r="AA118" s="572" t="s">
        <v>1318</v>
      </c>
      <c r="AB118" s="573" t="s">
        <v>1296</v>
      </c>
      <c r="AC118" s="154" t="s">
        <v>1294</v>
      </c>
      <c r="AD118" s="48" t="s">
        <v>1295</v>
      </c>
      <c r="AE118" s="48" t="s">
        <v>1318</v>
      </c>
      <c r="AF118" s="156" t="s">
        <v>1296</v>
      </c>
      <c r="AG118" s="154" t="s">
        <v>1294</v>
      </c>
      <c r="AH118" s="48" t="s">
        <v>1295</v>
      </c>
      <c r="AI118" s="48" t="s">
        <v>1318</v>
      </c>
      <c r="AJ118" s="156" t="s">
        <v>1296</v>
      </c>
      <c r="AK118" s="154" t="s">
        <v>1294</v>
      </c>
      <c r="AL118" s="48" t="s">
        <v>1295</v>
      </c>
      <c r="AM118" s="48" t="s">
        <v>1318</v>
      </c>
      <c r="AN118" s="155" t="s">
        <v>1296</v>
      </c>
    </row>
    <row r="119" spans="1:40" ht="22.5" customHeight="1">
      <c r="A119" s="98" t="s">
        <v>2285</v>
      </c>
      <c r="B119" s="515">
        <f t="shared" ref="B119:B137" si="23">(Q119+S119)*$D36</f>
        <v>0</v>
      </c>
      <c r="C119" s="516">
        <f t="shared" ref="C119:C137" si="24">R119*$D36</f>
        <v>0</v>
      </c>
      <c r="D119" s="515">
        <f t="shared" ref="D119:D137" si="25">(U119+W119)*$D36</f>
        <v>0</v>
      </c>
      <c r="E119" s="516">
        <f t="shared" ref="E119:E137" si="26">V119*$D36</f>
        <v>0</v>
      </c>
      <c r="F119" s="514"/>
      <c r="G119" s="514"/>
      <c r="H119" s="528">
        <f t="shared" ref="H119:H137" si="27">(AC119+AE119)*$D36</f>
        <v>0</v>
      </c>
      <c r="I119" s="529">
        <f t="shared" ref="I119:I137" si="28">AD119*$D36</f>
        <v>0</v>
      </c>
      <c r="J119" s="528">
        <f t="shared" ref="J119:J137" si="29">(AG119+AI119)*$D36</f>
        <v>0</v>
      </c>
      <c r="K119" s="516">
        <f t="shared" ref="K119:K137" si="30">AH119*$D36</f>
        <v>0</v>
      </c>
      <c r="L119" s="515">
        <f t="shared" ref="L119:L137" si="31">(AK119+AM119)*$D36</f>
        <v>0</v>
      </c>
      <c r="M119" s="516">
        <f t="shared" ref="M119:M137" si="32">AL119*$D36</f>
        <v>0</v>
      </c>
      <c r="P119" s="99" t="s">
        <v>2285</v>
      </c>
      <c r="Q119" s="574">
        <v>0</v>
      </c>
      <c r="R119" s="574">
        <v>0</v>
      </c>
      <c r="S119" s="574">
        <v>0</v>
      </c>
      <c r="T119" s="574">
        <v>0</v>
      </c>
      <c r="U119" s="574">
        <v>0</v>
      </c>
      <c r="V119" s="574">
        <v>0</v>
      </c>
      <c r="W119" s="574">
        <v>0</v>
      </c>
      <c r="X119" s="574">
        <v>0</v>
      </c>
      <c r="Y119" s="575">
        <v>0</v>
      </c>
      <c r="Z119" s="575">
        <v>0</v>
      </c>
      <c r="AA119" s="575">
        <v>0</v>
      </c>
      <c r="AB119" s="575">
        <v>0</v>
      </c>
      <c r="AC119" s="574">
        <v>0</v>
      </c>
      <c r="AD119" s="574">
        <v>0</v>
      </c>
      <c r="AE119" s="574">
        <v>0</v>
      </c>
      <c r="AF119" s="574">
        <v>0</v>
      </c>
      <c r="AG119" s="574">
        <v>0</v>
      </c>
      <c r="AH119" s="574">
        <v>0</v>
      </c>
      <c r="AI119" s="574">
        <v>0</v>
      </c>
      <c r="AJ119" s="574">
        <v>0</v>
      </c>
      <c r="AK119" s="574">
        <v>0</v>
      </c>
      <c r="AL119" s="574">
        <v>0</v>
      </c>
      <c r="AM119" s="574">
        <v>0</v>
      </c>
      <c r="AN119" s="574">
        <v>0</v>
      </c>
    </row>
    <row r="120" spans="1:40" ht="14">
      <c r="A120" s="518" t="s">
        <v>1262</v>
      </c>
      <c r="B120" s="515">
        <f t="shared" si="23"/>
        <v>0</v>
      </c>
      <c r="C120" s="516">
        <f t="shared" si="24"/>
        <v>0</v>
      </c>
      <c r="D120" s="515">
        <f t="shared" si="25"/>
        <v>0</v>
      </c>
      <c r="E120" s="516">
        <f t="shared" si="26"/>
        <v>0</v>
      </c>
      <c r="F120" s="514"/>
      <c r="G120" s="514"/>
      <c r="H120" s="528">
        <f t="shared" si="27"/>
        <v>0</v>
      </c>
      <c r="I120" s="529">
        <f t="shared" si="28"/>
        <v>0</v>
      </c>
      <c r="J120" s="528">
        <f t="shared" si="29"/>
        <v>2190206.8482201165</v>
      </c>
      <c r="K120" s="516">
        <f t="shared" si="30"/>
        <v>0</v>
      </c>
      <c r="L120" s="515">
        <f t="shared" si="31"/>
        <v>0</v>
      </c>
      <c r="M120" s="516">
        <f t="shared" si="32"/>
        <v>0</v>
      </c>
      <c r="P120" s="568" t="s">
        <v>1262</v>
      </c>
      <c r="Q120" s="574">
        <v>0</v>
      </c>
      <c r="R120" s="574">
        <v>0</v>
      </c>
      <c r="S120" s="574">
        <v>0</v>
      </c>
      <c r="T120" s="574">
        <v>0</v>
      </c>
      <c r="U120" s="574">
        <v>0</v>
      </c>
      <c r="V120" s="574">
        <v>0</v>
      </c>
      <c r="W120" s="574">
        <v>0</v>
      </c>
      <c r="X120" s="574">
        <v>0</v>
      </c>
      <c r="Y120" s="575">
        <v>24805</v>
      </c>
      <c r="Z120" s="575">
        <v>516878</v>
      </c>
      <c r="AA120" s="575">
        <v>0</v>
      </c>
      <c r="AB120" s="575">
        <v>541683</v>
      </c>
      <c r="AC120" s="574">
        <v>0</v>
      </c>
      <c r="AD120" s="574">
        <v>0</v>
      </c>
      <c r="AE120" s="574">
        <v>0</v>
      </c>
      <c r="AF120" s="574">
        <v>0</v>
      </c>
      <c r="AG120" s="574">
        <v>156093</v>
      </c>
      <c r="AH120" s="574">
        <v>0</v>
      </c>
      <c r="AI120" s="574">
        <v>0</v>
      </c>
      <c r="AJ120" s="574">
        <v>156093</v>
      </c>
      <c r="AK120" s="574">
        <v>0</v>
      </c>
      <c r="AL120" s="574">
        <v>0</v>
      </c>
      <c r="AM120" s="574">
        <v>0</v>
      </c>
      <c r="AN120" s="574">
        <v>0</v>
      </c>
    </row>
    <row r="121" spans="1:40" ht="14">
      <c r="A121" s="518" t="s">
        <v>1263</v>
      </c>
      <c r="B121" s="515">
        <f t="shared" si="23"/>
        <v>0</v>
      </c>
      <c r="C121" s="516">
        <f t="shared" si="24"/>
        <v>0</v>
      </c>
      <c r="D121" s="515">
        <f t="shared" si="25"/>
        <v>0</v>
      </c>
      <c r="E121" s="516">
        <f t="shared" si="26"/>
        <v>0</v>
      </c>
      <c r="F121" s="514"/>
      <c r="G121" s="514"/>
      <c r="H121" s="528">
        <f t="shared" si="27"/>
        <v>0</v>
      </c>
      <c r="I121" s="529">
        <f t="shared" si="28"/>
        <v>0</v>
      </c>
      <c r="J121" s="528">
        <f t="shared" si="29"/>
        <v>0</v>
      </c>
      <c r="K121" s="516">
        <f t="shared" si="30"/>
        <v>0</v>
      </c>
      <c r="L121" s="515">
        <f t="shared" si="31"/>
        <v>0</v>
      </c>
      <c r="M121" s="516">
        <f t="shared" si="32"/>
        <v>0</v>
      </c>
      <c r="P121" s="568" t="s">
        <v>1263</v>
      </c>
      <c r="Q121" s="574">
        <v>0</v>
      </c>
      <c r="R121" s="574">
        <v>0</v>
      </c>
      <c r="S121" s="574">
        <v>0</v>
      </c>
      <c r="T121" s="574">
        <v>0</v>
      </c>
      <c r="U121" s="574">
        <v>0</v>
      </c>
      <c r="V121" s="574">
        <v>0</v>
      </c>
      <c r="W121" s="574">
        <v>0</v>
      </c>
      <c r="X121" s="574">
        <v>0</v>
      </c>
      <c r="Y121" s="575">
        <v>0</v>
      </c>
      <c r="Z121" s="575">
        <v>63897</v>
      </c>
      <c r="AA121" s="575">
        <v>0</v>
      </c>
      <c r="AB121" s="575">
        <v>63897</v>
      </c>
      <c r="AC121" s="574">
        <v>0</v>
      </c>
      <c r="AD121" s="574">
        <v>0</v>
      </c>
      <c r="AE121" s="574">
        <v>0</v>
      </c>
      <c r="AF121" s="574">
        <v>0</v>
      </c>
      <c r="AG121" s="574">
        <v>0</v>
      </c>
      <c r="AH121" s="574">
        <v>0</v>
      </c>
      <c r="AI121" s="574">
        <v>0</v>
      </c>
      <c r="AJ121" s="574">
        <v>0</v>
      </c>
      <c r="AK121" s="574">
        <v>0</v>
      </c>
      <c r="AL121" s="574">
        <v>0</v>
      </c>
      <c r="AM121" s="574">
        <v>0</v>
      </c>
      <c r="AN121" s="574">
        <v>0</v>
      </c>
    </row>
    <row r="122" spans="1:40" ht="14">
      <c r="A122" s="518" t="s">
        <v>1264</v>
      </c>
      <c r="B122" s="515">
        <f t="shared" si="23"/>
        <v>0</v>
      </c>
      <c r="C122" s="516">
        <f t="shared" si="24"/>
        <v>0</v>
      </c>
      <c r="D122" s="515">
        <f t="shared" si="25"/>
        <v>0</v>
      </c>
      <c r="E122" s="516">
        <f t="shared" si="26"/>
        <v>0</v>
      </c>
      <c r="F122" s="514"/>
      <c r="G122" s="514"/>
      <c r="H122" s="528">
        <f t="shared" si="27"/>
        <v>0</v>
      </c>
      <c r="I122" s="529">
        <f t="shared" si="28"/>
        <v>0</v>
      </c>
      <c r="J122" s="528">
        <f t="shared" si="29"/>
        <v>0</v>
      </c>
      <c r="K122" s="516">
        <f t="shared" si="30"/>
        <v>0</v>
      </c>
      <c r="L122" s="515">
        <f t="shared" si="31"/>
        <v>0</v>
      </c>
      <c r="M122" s="516">
        <f t="shared" si="32"/>
        <v>0</v>
      </c>
      <c r="P122" s="568" t="s">
        <v>1264</v>
      </c>
      <c r="Q122" s="574">
        <v>0</v>
      </c>
      <c r="R122" s="574">
        <v>0</v>
      </c>
      <c r="S122" s="574">
        <v>0</v>
      </c>
      <c r="T122" s="574">
        <v>0</v>
      </c>
      <c r="U122" s="574">
        <v>0</v>
      </c>
      <c r="V122" s="574">
        <v>0</v>
      </c>
      <c r="W122" s="574">
        <v>0</v>
      </c>
      <c r="X122" s="574">
        <v>0</v>
      </c>
      <c r="Y122" s="575">
        <v>0</v>
      </c>
      <c r="Z122" s="575">
        <v>0</v>
      </c>
      <c r="AA122" s="575">
        <v>0</v>
      </c>
      <c r="AB122" s="575">
        <v>0</v>
      </c>
      <c r="AC122" s="574">
        <v>0</v>
      </c>
      <c r="AD122" s="574">
        <v>0</v>
      </c>
      <c r="AE122" s="574">
        <v>0</v>
      </c>
      <c r="AF122" s="574">
        <v>0</v>
      </c>
      <c r="AG122" s="574">
        <v>0</v>
      </c>
      <c r="AH122" s="574">
        <v>0</v>
      </c>
      <c r="AI122" s="574">
        <v>0</v>
      </c>
      <c r="AJ122" s="574">
        <v>0</v>
      </c>
      <c r="AK122" s="574">
        <v>0</v>
      </c>
      <c r="AL122" s="574">
        <v>0</v>
      </c>
      <c r="AM122" s="574">
        <v>0</v>
      </c>
      <c r="AN122" s="574">
        <v>0</v>
      </c>
    </row>
    <row r="123" spans="1:40" ht="14">
      <c r="A123" s="518" t="s">
        <v>1265</v>
      </c>
      <c r="B123" s="515">
        <f t="shared" si="23"/>
        <v>0</v>
      </c>
      <c r="C123" s="516">
        <f t="shared" si="24"/>
        <v>0</v>
      </c>
      <c r="D123" s="515">
        <f t="shared" si="25"/>
        <v>0</v>
      </c>
      <c r="E123" s="516">
        <f t="shared" si="26"/>
        <v>10339.442575247795</v>
      </c>
      <c r="F123" s="514"/>
      <c r="G123" s="514"/>
      <c r="H123" s="528">
        <f t="shared" si="27"/>
        <v>0</v>
      </c>
      <c r="I123" s="529">
        <f t="shared" si="28"/>
        <v>0</v>
      </c>
      <c r="J123" s="528">
        <f t="shared" si="29"/>
        <v>137244.45667000092</v>
      </c>
      <c r="K123" s="516">
        <f t="shared" si="30"/>
        <v>0</v>
      </c>
      <c r="L123" s="515">
        <f t="shared" si="31"/>
        <v>0</v>
      </c>
      <c r="M123" s="516">
        <f t="shared" si="32"/>
        <v>0</v>
      </c>
      <c r="P123" s="568" t="s">
        <v>1265</v>
      </c>
      <c r="Q123" s="574">
        <v>0</v>
      </c>
      <c r="R123" s="574">
        <v>0</v>
      </c>
      <c r="S123" s="574">
        <v>0</v>
      </c>
      <c r="T123" s="574">
        <v>0</v>
      </c>
      <c r="U123" s="574">
        <v>0</v>
      </c>
      <c r="V123" s="574">
        <v>1110</v>
      </c>
      <c r="W123" s="574">
        <v>0</v>
      </c>
      <c r="X123" s="574">
        <v>1110</v>
      </c>
      <c r="Y123" s="575">
        <v>0</v>
      </c>
      <c r="Z123" s="575">
        <v>0</v>
      </c>
      <c r="AA123" s="575">
        <v>0</v>
      </c>
      <c r="AB123" s="575">
        <v>0</v>
      </c>
      <c r="AC123" s="574">
        <v>0</v>
      </c>
      <c r="AD123" s="574">
        <v>0</v>
      </c>
      <c r="AE123" s="574">
        <v>0</v>
      </c>
      <c r="AF123" s="574">
        <v>0</v>
      </c>
      <c r="AG123" s="574">
        <v>14734</v>
      </c>
      <c r="AH123" s="574">
        <v>0</v>
      </c>
      <c r="AI123" s="574">
        <v>0</v>
      </c>
      <c r="AJ123" s="574">
        <v>14734</v>
      </c>
      <c r="AK123" s="574">
        <v>0</v>
      </c>
      <c r="AL123" s="574">
        <v>0</v>
      </c>
      <c r="AM123" s="574">
        <v>0</v>
      </c>
      <c r="AN123" s="574">
        <v>0</v>
      </c>
    </row>
    <row r="124" spans="1:40" ht="14">
      <c r="A124" s="518" t="s">
        <v>1266</v>
      </c>
      <c r="B124" s="515">
        <f t="shared" si="23"/>
        <v>0</v>
      </c>
      <c r="C124" s="516">
        <f t="shared" si="24"/>
        <v>0</v>
      </c>
      <c r="D124" s="515">
        <f t="shared" si="25"/>
        <v>0</v>
      </c>
      <c r="E124" s="516">
        <f t="shared" si="26"/>
        <v>0</v>
      </c>
      <c r="F124" s="514"/>
      <c r="G124" s="514"/>
      <c r="H124" s="528">
        <f t="shared" si="27"/>
        <v>0</v>
      </c>
      <c r="I124" s="529">
        <f t="shared" si="28"/>
        <v>0</v>
      </c>
      <c r="J124" s="528">
        <f t="shared" si="29"/>
        <v>0</v>
      </c>
      <c r="K124" s="516">
        <f t="shared" si="30"/>
        <v>0</v>
      </c>
      <c r="L124" s="515">
        <f t="shared" si="31"/>
        <v>0</v>
      </c>
      <c r="M124" s="516">
        <f t="shared" si="32"/>
        <v>0</v>
      </c>
      <c r="P124" s="568" t="s">
        <v>1266</v>
      </c>
      <c r="Q124" s="574">
        <v>0</v>
      </c>
      <c r="R124" s="574">
        <v>0</v>
      </c>
      <c r="S124" s="574">
        <v>0</v>
      </c>
      <c r="T124" s="574">
        <v>0</v>
      </c>
      <c r="U124" s="574">
        <v>0</v>
      </c>
      <c r="V124" s="574">
        <v>0</v>
      </c>
      <c r="W124" s="574">
        <v>0</v>
      </c>
      <c r="X124" s="574">
        <v>0</v>
      </c>
      <c r="Y124" s="575">
        <v>0</v>
      </c>
      <c r="Z124" s="575">
        <v>0</v>
      </c>
      <c r="AA124" s="575">
        <v>0</v>
      </c>
      <c r="AB124" s="575">
        <v>0</v>
      </c>
      <c r="AC124" s="574">
        <v>0</v>
      </c>
      <c r="AD124" s="574">
        <v>0</v>
      </c>
      <c r="AE124" s="574">
        <v>0</v>
      </c>
      <c r="AF124" s="574">
        <v>0</v>
      </c>
      <c r="AG124" s="574">
        <v>0</v>
      </c>
      <c r="AH124" s="574">
        <v>0</v>
      </c>
      <c r="AI124" s="574">
        <v>0</v>
      </c>
      <c r="AJ124" s="574">
        <v>0</v>
      </c>
      <c r="AK124" s="574">
        <v>0</v>
      </c>
      <c r="AL124" s="574">
        <v>0</v>
      </c>
      <c r="AM124" s="574">
        <v>0</v>
      </c>
      <c r="AN124" s="574">
        <v>0</v>
      </c>
    </row>
    <row r="125" spans="1:40" ht="14">
      <c r="A125" s="518" t="s">
        <v>1267</v>
      </c>
      <c r="B125" s="515">
        <f t="shared" si="23"/>
        <v>0</v>
      </c>
      <c r="C125" s="516">
        <f t="shared" si="24"/>
        <v>0</v>
      </c>
      <c r="D125" s="515">
        <f t="shared" si="25"/>
        <v>0</v>
      </c>
      <c r="E125" s="516">
        <f t="shared" si="26"/>
        <v>0</v>
      </c>
      <c r="F125" s="514"/>
      <c r="G125" s="514"/>
      <c r="H125" s="528">
        <f t="shared" si="27"/>
        <v>0</v>
      </c>
      <c r="I125" s="529">
        <f t="shared" si="28"/>
        <v>0</v>
      </c>
      <c r="J125" s="528">
        <f t="shared" si="29"/>
        <v>0</v>
      </c>
      <c r="K125" s="516">
        <f t="shared" si="30"/>
        <v>0</v>
      </c>
      <c r="L125" s="515">
        <f t="shared" si="31"/>
        <v>0</v>
      </c>
      <c r="M125" s="516">
        <f t="shared" si="32"/>
        <v>0</v>
      </c>
      <c r="P125" s="568" t="s">
        <v>1267</v>
      </c>
      <c r="Q125" s="574">
        <v>0</v>
      </c>
      <c r="R125" s="574">
        <v>0</v>
      </c>
      <c r="S125" s="574">
        <v>0</v>
      </c>
      <c r="T125" s="574">
        <v>0</v>
      </c>
      <c r="U125" s="574">
        <v>0</v>
      </c>
      <c r="V125" s="574">
        <v>0</v>
      </c>
      <c r="W125" s="574">
        <v>0</v>
      </c>
      <c r="X125" s="574">
        <v>0</v>
      </c>
      <c r="Y125" s="575">
        <v>0</v>
      </c>
      <c r="Z125" s="575">
        <v>0</v>
      </c>
      <c r="AA125" s="575">
        <v>0</v>
      </c>
      <c r="AB125" s="575">
        <v>0</v>
      </c>
      <c r="AC125" s="574">
        <v>0</v>
      </c>
      <c r="AD125" s="574">
        <v>0</v>
      </c>
      <c r="AE125" s="574">
        <v>0</v>
      </c>
      <c r="AF125" s="574">
        <v>0</v>
      </c>
      <c r="AG125" s="574">
        <v>0</v>
      </c>
      <c r="AH125" s="574">
        <v>0</v>
      </c>
      <c r="AI125" s="574">
        <v>0</v>
      </c>
      <c r="AJ125" s="574">
        <v>0</v>
      </c>
      <c r="AK125" s="574">
        <v>0</v>
      </c>
      <c r="AL125" s="574">
        <v>0</v>
      </c>
      <c r="AM125" s="574">
        <v>0</v>
      </c>
      <c r="AN125" s="574">
        <v>0</v>
      </c>
    </row>
    <row r="126" spans="1:40" ht="14">
      <c r="A126" s="520" t="s">
        <v>1268</v>
      </c>
      <c r="B126" s="515">
        <f t="shared" si="23"/>
        <v>0</v>
      </c>
      <c r="C126" s="516">
        <f t="shared" si="24"/>
        <v>0</v>
      </c>
      <c r="D126" s="515">
        <f t="shared" si="25"/>
        <v>0</v>
      </c>
      <c r="E126" s="516">
        <f t="shared" si="26"/>
        <v>0</v>
      </c>
      <c r="F126" s="514"/>
      <c r="G126" s="514"/>
      <c r="H126" s="528">
        <f t="shared" si="27"/>
        <v>0</v>
      </c>
      <c r="I126" s="529">
        <f t="shared" si="28"/>
        <v>0</v>
      </c>
      <c r="J126" s="528">
        <f t="shared" si="29"/>
        <v>0</v>
      </c>
      <c r="K126" s="516">
        <f t="shared" si="30"/>
        <v>0</v>
      </c>
      <c r="L126" s="515">
        <f t="shared" si="31"/>
        <v>0</v>
      </c>
      <c r="M126" s="516">
        <f t="shared" si="32"/>
        <v>0</v>
      </c>
      <c r="P126" s="99" t="s">
        <v>1268</v>
      </c>
      <c r="Q126" s="574">
        <v>134403</v>
      </c>
      <c r="R126" s="574">
        <v>920</v>
      </c>
      <c r="S126" s="574">
        <v>0</v>
      </c>
      <c r="T126" s="574">
        <v>135323</v>
      </c>
      <c r="U126" s="574">
        <v>479394</v>
      </c>
      <c r="V126" s="574">
        <v>43175</v>
      </c>
      <c r="W126" s="574">
        <v>0</v>
      </c>
      <c r="X126" s="574">
        <v>522569</v>
      </c>
      <c r="Y126" s="575">
        <v>999946</v>
      </c>
      <c r="Z126" s="575">
        <v>45839</v>
      </c>
      <c r="AA126" s="575">
        <v>0</v>
      </c>
      <c r="AB126" s="575">
        <v>1045785</v>
      </c>
      <c r="AC126" s="574">
        <v>28355</v>
      </c>
      <c r="AD126" s="574">
        <v>0</v>
      </c>
      <c r="AE126" s="574">
        <v>0</v>
      </c>
      <c r="AF126" s="574">
        <v>28355</v>
      </c>
      <c r="AG126" s="574">
        <v>231697</v>
      </c>
      <c r="AH126" s="574">
        <v>0</v>
      </c>
      <c r="AI126" s="574">
        <v>0</v>
      </c>
      <c r="AJ126" s="574">
        <v>231697</v>
      </c>
      <c r="AK126" s="574">
        <v>150811</v>
      </c>
      <c r="AL126" s="574">
        <v>14015</v>
      </c>
      <c r="AM126" s="574">
        <v>0</v>
      </c>
      <c r="AN126" s="574">
        <v>164826</v>
      </c>
    </row>
    <row r="127" spans="1:40" ht="14">
      <c r="A127" s="520" t="s">
        <v>1269</v>
      </c>
      <c r="B127" s="515">
        <f t="shared" si="23"/>
        <v>0</v>
      </c>
      <c r="C127" s="516">
        <f t="shared" si="24"/>
        <v>0</v>
      </c>
      <c r="D127" s="515">
        <f t="shared" si="25"/>
        <v>0</v>
      </c>
      <c r="E127" s="516">
        <f t="shared" si="26"/>
        <v>0</v>
      </c>
      <c r="F127" s="514"/>
      <c r="G127" s="514"/>
      <c r="H127" s="528">
        <f t="shared" si="27"/>
        <v>0</v>
      </c>
      <c r="I127" s="529">
        <f t="shared" si="28"/>
        <v>0</v>
      </c>
      <c r="J127" s="528">
        <f t="shared" si="29"/>
        <v>0</v>
      </c>
      <c r="K127" s="516">
        <f t="shared" si="30"/>
        <v>0</v>
      </c>
      <c r="L127" s="515">
        <f t="shared" si="31"/>
        <v>0</v>
      </c>
      <c r="M127" s="516">
        <f t="shared" si="32"/>
        <v>0</v>
      </c>
      <c r="P127" s="99" t="s">
        <v>1269</v>
      </c>
      <c r="Q127" s="574">
        <v>0</v>
      </c>
      <c r="R127" s="574">
        <v>0</v>
      </c>
      <c r="S127" s="574">
        <v>0</v>
      </c>
      <c r="T127" s="574">
        <v>0</v>
      </c>
      <c r="U127" s="574">
        <v>0</v>
      </c>
      <c r="V127" s="574">
        <v>0</v>
      </c>
      <c r="W127" s="574">
        <v>0</v>
      </c>
      <c r="X127" s="574">
        <v>0</v>
      </c>
      <c r="Y127" s="575">
        <v>0</v>
      </c>
      <c r="Z127" s="575">
        <v>0</v>
      </c>
      <c r="AA127" s="575">
        <v>0</v>
      </c>
      <c r="AB127" s="575">
        <v>0</v>
      </c>
      <c r="AC127" s="574">
        <v>0</v>
      </c>
      <c r="AD127" s="574">
        <v>0</v>
      </c>
      <c r="AE127" s="574">
        <v>0</v>
      </c>
      <c r="AF127" s="574">
        <v>0</v>
      </c>
      <c r="AG127" s="574">
        <v>0</v>
      </c>
      <c r="AH127" s="574">
        <v>0</v>
      </c>
      <c r="AI127" s="574">
        <v>0</v>
      </c>
      <c r="AJ127" s="574">
        <v>0</v>
      </c>
      <c r="AK127" s="574">
        <v>0</v>
      </c>
      <c r="AL127" s="574">
        <v>0</v>
      </c>
      <c r="AM127" s="574">
        <v>0</v>
      </c>
      <c r="AN127" s="574">
        <v>0</v>
      </c>
    </row>
    <row r="128" spans="1:40" ht="14">
      <c r="A128" s="518" t="s">
        <v>1270</v>
      </c>
      <c r="B128" s="515">
        <f t="shared" si="23"/>
        <v>0</v>
      </c>
      <c r="C128" s="516">
        <f t="shared" si="24"/>
        <v>0</v>
      </c>
      <c r="D128" s="515">
        <f t="shared" si="25"/>
        <v>0</v>
      </c>
      <c r="E128" s="516">
        <f t="shared" si="26"/>
        <v>0</v>
      </c>
      <c r="F128" s="514"/>
      <c r="G128" s="514"/>
      <c r="H128" s="528">
        <f t="shared" si="27"/>
        <v>0</v>
      </c>
      <c r="I128" s="529">
        <f t="shared" si="28"/>
        <v>0</v>
      </c>
      <c r="J128" s="528">
        <f t="shared" si="29"/>
        <v>0</v>
      </c>
      <c r="K128" s="516">
        <f t="shared" si="30"/>
        <v>0</v>
      </c>
      <c r="L128" s="515">
        <f t="shared" si="31"/>
        <v>0</v>
      </c>
      <c r="M128" s="516">
        <f t="shared" si="32"/>
        <v>0</v>
      </c>
      <c r="P128" s="568" t="s">
        <v>1270</v>
      </c>
      <c r="Q128" s="574">
        <v>0</v>
      </c>
      <c r="R128" s="574">
        <v>0</v>
      </c>
      <c r="S128" s="574">
        <v>0</v>
      </c>
      <c r="T128" s="574">
        <v>0</v>
      </c>
      <c r="U128" s="574">
        <v>0</v>
      </c>
      <c r="V128" s="574">
        <v>0</v>
      </c>
      <c r="W128" s="574">
        <v>0</v>
      </c>
      <c r="X128" s="574">
        <v>0</v>
      </c>
      <c r="Y128" s="575">
        <v>0</v>
      </c>
      <c r="Z128" s="575">
        <v>0</v>
      </c>
      <c r="AA128" s="575">
        <v>0</v>
      </c>
      <c r="AB128" s="575">
        <v>0</v>
      </c>
      <c r="AC128" s="574">
        <v>0</v>
      </c>
      <c r="AD128" s="574">
        <v>0</v>
      </c>
      <c r="AE128" s="574">
        <v>0</v>
      </c>
      <c r="AF128" s="574">
        <v>0</v>
      </c>
      <c r="AG128" s="574">
        <v>0</v>
      </c>
      <c r="AH128" s="574">
        <v>0</v>
      </c>
      <c r="AI128" s="574">
        <v>0</v>
      </c>
      <c r="AJ128" s="574">
        <v>0</v>
      </c>
      <c r="AK128" s="574">
        <v>0</v>
      </c>
      <c r="AL128" s="574">
        <v>0</v>
      </c>
      <c r="AM128" s="574">
        <v>0</v>
      </c>
      <c r="AN128" s="574">
        <v>0</v>
      </c>
    </row>
    <row r="129" spans="1:41" ht="14">
      <c r="A129" s="518" t="s">
        <v>1271</v>
      </c>
      <c r="B129" s="515">
        <f t="shared" si="23"/>
        <v>132261.03164499407</v>
      </c>
      <c r="C129" s="516">
        <f t="shared" si="24"/>
        <v>0</v>
      </c>
      <c r="D129" s="515">
        <f t="shared" si="25"/>
        <v>70112.598435937078</v>
      </c>
      <c r="E129" s="516">
        <f t="shared" si="26"/>
        <v>0</v>
      </c>
      <c r="F129" s="514"/>
      <c r="G129" s="514"/>
      <c r="H129" s="528">
        <f t="shared" si="27"/>
        <v>0</v>
      </c>
      <c r="I129" s="529">
        <f t="shared" si="28"/>
        <v>0</v>
      </c>
      <c r="J129" s="528">
        <f t="shared" si="29"/>
        <v>0</v>
      </c>
      <c r="K129" s="516">
        <f t="shared" si="30"/>
        <v>0</v>
      </c>
      <c r="L129" s="515">
        <f t="shared" si="31"/>
        <v>0</v>
      </c>
      <c r="M129" s="516">
        <f t="shared" si="32"/>
        <v>0</v>
      </c>
      <c r="P129" s="568" t="s">
        <v>1271</v>
      </c>
      <c r="Q129" s="574">
        <v>14199</v>
      </c>
      <c r="R129" s="574">
        <v>0</v>
      </c>
      <c r="S129" s="574">
        <v>0</v>
      </c>
      <c r="T129" s="574">
        <v>14199</v>
      </c>
      <c r="U129" s="574">
        <v>7527</v>
      </c>
      <c r="V129" s="574">
        <v>0</v>
      </c>
      <c r="W129" s="574">
        <v>0</v>
      </c>
      <c r="X129" s="574">
        <v>7527</v>
      </c>
      <c r="Y129" s="575">
        <v>0</v>
      </c>
      <c r="Z129" s="575">
        <v>0</v>
      </c>
      <c r="AA129" s="575">
        <v>0</v>
      </c>
      <c r="AB129" s="575">
        <v>0</v>
      </c>
      <c r="AC129" s="574">
        <v>0</v>
      </c>
      <c r="AD129" s="574">
        <v>0</v>
      </c>
      <c r="AE129" s="574">
        <v>0</v>
      </c>
      <c r="AF129" s="574">
        <v>0</v>
      </c>
      <c r="AG129" s="574">
        <v>0</v>
      </c>
      <c r="AH129" s="574">
        <v>0</v>
      </c>
      <c r="AI129" s="574">
        <v>0</v>
      </c>
      <c r="AJ129" s="574">
        <v>0</v>
      </c>
      <c r="AK129" s="574">
        <v>0</v>
      </c>
      <c r="AL129" s="574">
        <v>0</v>
      </c>
      <c r="AM129" s="574">
        <v>0</v>
      </c>
      <c r="AN129" s="574">
        <v>0</v>
      </c>
    </row>
    <row r="130" spans="1:41" ht="14">
      <c r="A130" s="518" t="s">
        <v>1272</v>
      </c>
      <c r="B130" s="515">
        <f t="shared" si="23"/>
        <v>0</v>
      </c>
      <c r="C130" s="516">
        <f t="shared" si="24"/>
        <v>0</v>
      </c>
      <c r="D130" s="515">
        <f t="shared" si="25"/>
        <v>0</v>
      </c>
      <c r="E130" s="516">
        <f t="shared" si="26"/>
        <v>0</v>
      </c>
      <c r="F130" s="514"/>
      <c r="G130" s="514"/>
      <c r="H130" s="528">
        <f t="shared" si="27"/>
        <v>0</v>
      </c>
      <c r="I130" s="529">
        <f t="shared" si="28"/>
        <v>0</v>
      </c>
      <c r="J130" s="528">
        <f t="shared" si="29"/>
        <v>0</v>
      </c>
      <c r="K130" s="516">
        <f t="shared" si="30"/>
        <v>0</v>
      </c>
      <c r="L130" s="515">
        <f t="shared" si="31"/>
        <v>0</v>
      </c>
      <c r="M130" s="516">
        <f t="shared" si="32"/>
        <v>0</v>
      </c>
      <c r="P130" s="568" t="s">
        <v>1272</v>
      </c>
      <c r="Q130" s="574">
        <v>0</v>
      </c>
      <c r="R130" s="574">
        <v>0</v>
      </c>
      <c r="S130" s="574">
        <v>0</v>
      </c>
      <c r="T130" s="574">
        <v>0</v>
      </c>
      <c r="U130" s="574">
        <v>0</v>
      </c>
      <c r="V130" s="574">
        <v>0</v>
      </c>
      <c r="W130" s="574">
        <v>0</v>
      </c>
      <c r="X130" s="574">
        <v>0</v>
      </c>
      <c r="Y130" s="575">
        <v>2715</v>
      </c>
      <c r="Z130" s="575">
        <v>0</v>
      </c>
      <c r="AA130" s="575">
        <v>0</v>
      </c>
      <c r="AB130" s="575">
        <v>2715</v>
      </c>
      <c r="AC130" s="574">
        <v>0</v>
      </c>
      <c r="AD130" s="574">
        <v>0</v>
      </c>
      <c r="AE130" s="574">
        <v>0</v>
      </c>
      <c r="AF130" s="574">
        <v>0</v>
      </c>
      <c r="AG130" s="574">
        <v>0</v>
      </c>
      <c r="AH130" s="574">
        <v>0</v>
      </c>
      <c r="AI130" s="574">
        <v>0</v>
      </c>
      <c r="AJ130" s="574">
        <v>0</v>
      </c>
      <c r="AK130" s="574">
        <v>0</v>
      </c>
      <c r="AL130" s="574">
        <v>0</v>
      </c>
      <c r="AM130" s="574">
        <v>0</v>
      </c>
      <c r="AN130" s="574">
        <v>0</v>
      </c>
    </row>
    <row r="131" spans="1:41" ht="14">
      <c r="A131" s="518" t="s">
        <v>1273</v>
      </c>
      <c r="B131" s="515">
        <f t="shared" si="23"/>
        <v>0</v>
      </c>
      <c r="C131" s="516">
        <f t="shared" si="24"/>
        <v>0</v>
      </c>
      <c r="D131" s="515">
        <f t="shared" si="25"/>
        <v>0</v>
      </c>
      <c r="E131" s="516">
        <f t="shared" si="26"/>
        <v>0</v>
      </c>
      <c r="F131" s="514"/>
      <c r="G131" s="514"/>
      <c r="H131" s="528">
        <f t="shared" si="27"/>
        <v>0</v>
      </c>
      <c r="I131" s="529">
        <f t="shared" si="28"/>
        <v>0</v>
      </c>
      <c r="J131" s="528">
        <f t="shared" si="29"/>
        <v>0</v>
      </c>
      <c r="K131" s="516">
        <f t="shared" si="30"/>
        <v>0</v>
      </c>
      <c r="L131" s="515">
        <f t="shared" si="31"/>
        <v>0</v>
      </c>
      <c r="M131" s="516">
        <f t="shared" si="32"/>
        <v>0</v>
      </c>
      <c r="P131" s="568" t="s">
        <v>1273</v>
      </c>
      <c r="Q131" s="574">
        <v>0</v>
      </c>
      <c r="R131" s="574">
        <v>0</v>
      </c>
      <c r="S131" s="574">
        <v>0</v>
      </c>
      <c r="T131" s="574">
        <v>0</v>
      </c>
      <c r="U131" s="574">
        <v>0</v>
      </c>
      <c r="V131" s="574">
        <v>0</v>
      </c>
      <c r="W131" s="574">
        <v>0</v>
      </c>
      <c r="X131" s="574">
        <v>0</v>
      </c>
      <c r="Y131" s="575">
        <v>0</v>
      </c>
      <c r="Z131" s="575">
        <v>0</v>
      </c>
      <c r="AA131" s="575">
        <v>0</v>
      </c>
      <c r="AB131" s="575">
        <v>0</v>
      </c>
      <c r="AC131" s="574">
        <v>0</v>
      </c>
      <c r="AD131" s="574">
        <v>0</v>
      </c>
      <c r="AE131" s="574">
        <v>0</v>
      </c>
      <c r="AF131" s="574">
        <v>0</v>
      </c>
      <c r="AG131" s="574">
        <v>0</v>
      </c>
      <c r="AH131" s="574">
        <v>0</v>
      </c>
      <c r="AI131" s="574">
        <v>0</v>
      </c>
      <c r="AJ131" s="574">
        <v>0</v>
      </c>
      <c r="AK131" s="574">
        <v>0</v>
      </c>
      <c r="AL131" s="574">
        <v>0</v>
      </c>
      <c r="AM131" s="574">
        <v>0</v>
      </c>
      <c r="AN131" s="574">
        <v>0</v>
      </c>
    </row>
    <row r="132" spans="1:41" ht="14">
      <c r="A132" s="518" t="s">
        <v>1274</v>
      </c>
      <c r="B132" s="515">
        <f t="shared" si="23"/>
        <v>0</v>
      </c>
      <c r="C132" s="516">
        <f t="shared" si="24"/>
        <v>0</v>
      </c>
      <c r="D132" s="515">
        <f t="shared" si="25"/>
        <v>0</v>
      </c>
      <c r="E132" s="516">
        <f t="shared" si="26"/>
        <v>0</v>
      </c>
      <c r="F132" s="514"/>
      <c r="G132" s="514"/>
      <c r="H132" s="528">
        <f t="shared" si="27"/>
        <v>0</v>
      </c>
      <c r="I132" s="529">
        <f t="shared" si="28"/>
        <v>0</v>
      </c>
      <c r="J132" s="528">
        <f t="shared" si="29"/>
        <v>0</v>
      </c>
      <c r="K132" s="516">
        <f t="shared" si="30"/>
        <v>0</v>
      </c>
      <c r="L132" s="515">
        <f t="shared" si="31"/>
        <v>0</v>
      </c>
      <c r="M132" s="516">
        <f t="shared" si="32"/>
        <v>0</v>
      </c>
      <c r="P132" s="568" t="s">
        <v>1274</v>
      </c>
      <c r="Q132" s="574">
        <v>0</v>
      </c>
      <c r="R132" s="574">
        <v>0</v>
      </c>
      <c r="S132" s="574">
        <v>0</v>
      </c>
      <c r="T132" s="574">
        <v>0</v>
      </c>
      <c r="U132" s="574">
        <v>0</v>
      </c>
      <c r="V132" s="574">
        <v>0</v>
      </c>
      <c r="W132" s="574">
        <v>0</v>
      </c>
      <c r="X132" s="574">
        <v>0</v>
      </c>
      <c r="Y132" s="575">
        <v>0</v>
      </c>
      <c r="Z132" s="575">
        <v>0</v>
      </c>
      <c r="AA132" s="575">
        <v>0</v>
      </c>
      <c r="AB132" s="575">
        <v>0</v>
      </c>
      <c r="AC132" s="574">
        <v>0</v>
      </c>
      <c r="AD132" s="574">
        <v>0</v>
      </c>
      <c r="AE132" s="574">
        <v>0</v>
      </c>
      <c r="AF132" s="574">
        <v>0</v>
      </c>
      <c r="AG132" s="574">
        <v>0</v>
      </c>
      <c r="AH132" s="574">
        <v>0</v>
      </c>
      <c r="AI132" s="574">
        <v>0</v>
      </c>
      <c r="AJ132" s="574">
        <v>0</v>
      </c>
      <c r="AK132" s="574">
        <v>0</v>
      </c>
      <c r="AL132" s="574">
        <v>0</v>
      </c>
      <c r="AM132" s="574">
        <v>0</v>
      </c>
      <c r="AN132" s="574">
        <v>0</v>
      </c>
    </row>
    <row r="133" spans="1:41" ht="14">
      <c r="A133" s="518" t="s">
        <v>1275</v>
      </c>
      <c r="B133" s="515">
        <f t="shared" si="23"/>
        <v>0</v>
      </c>
      <c r="C133" s="516">
        <f t="shared" si="24"/>
        <v>0</v>
      </c>
      <c r="D133" s="515">
        <f t="shared" si="25"/>
        <v>0</v>
      </c>
      <c r="E133" s="516">
        <f t="shared" si="26"/>
        <v>0</v>
      </c>
      <c r="F133" s="514"/>
      <c r="G133" s="514"/>
      <c r="H133" s="528">
        <f t="shared" si="27"/>
        <v>0</v>
      </c>
      <c r="I133" s="529">
        <f t="shared" si="28"/>
        <v>0</v>
      </c>
      <c r="J133" s="528">
        <f t="shared" si="29"/>
        <v>0</v>
      </c>
      <c r="K133" s="516">
        <f t="shared" si="30"/>
        <v>0</v>
      </c>
      <c r="L133" s="515">
        <f t="shared" si="31"/>
        <v>0</v>
      </c>
      <c r="M133" s="516">
        <f t="shared" si="32"/>
        <v>0</v>
      </c>
      <c r="P133" s="568" t="s">
        <v>1275</v>
      </c>
      <c r="Q133" s="574">
        <v>0</v>
      </c>
      <c r="R133" s="574">
        <v>0</v>
      </c>
      <c r="S133" s="574">
        <v>0</v>
      </c>
      <c r="T133" s="574">
        <v>0</v>
      </c>
      <c r="U133" s="574">
        <v>0</v>
      </c>
      <c r="V133" s="574">
        <v>0</v>
      </c>
      <c r="W133" s="574">
        <v>0</v>
      </c>
      <c r="X133" s="574">
        <v>0</v>
      </c>
      <c r="Y133" s="575">
        <v>0</v>
      </c>
      <c r="Z133" s="575">
        <v>13502</v>
      </c>
      <c r="AA133" s="575">
        <v>0</v>
      </c>
      <c r="AB133" s="575">
        <v>13502</v>
      </c>
      <c r="AC133" s="574">
        <v>0</v>
      </c>
      <c r="AD133" s="574">
        <v>0</v>
      </c>
      <c r="AE133" s="574">
        <v>0</v>
      </c>
      <c r="AF133" s="574">
        <v>0</v>
      </c>
      <c r="AG133" s="574">
        <v>0</v>
      </c>
      <c r="AH133" s="574">
        <v>0</v>
      </c>
      <c r="AI133" s="574">
        <v>0</v>
      </c>
      <c r="AJ133" s="574">
        <v>0</v>
      </c>
      <c r="AK133" s="574">
        <v>0</v>
      </c>
      <c r="AL133" s="574">
        <v>0</v>
      </c>
      <c r="AM133" s="574">
        <v>0</v>
      </c>
      <c r="AN133" s="574">
        <v>0</v>
      </c>
    </row>
    <row r="134" spans="1:41" ht="14">
      <c r="A134" s="99" t="s">
        <v>1276</v>
      </c>
      <c r="B134" s="515">
        <f t="shared" si="23"/>
        <v>0</v>
      </c>
      <c r="C134" s="516">
        <f t="shared" si="24"/>
        <v>0</v>
      </c>
      <c r="D134" s="515">
        <f t="shared" si="25"/>
        <v>0</v>
      </c>
      <c r="E134" s="516">
        <f t="shared" si="26"/>
        <v>0</v>
      </c>
      <c r="F134" s="514"/>
      <c r="G134" s="514"/>
      <c r="H134" s="528">
        <f t="shared" si="27"/>
        <v>0</v>
      </c>
      <c r="I134" s="529">
        <f t="shared" si="28"/>
        <v>0</v>
      </c>
      <c r="J134" s="528">
        <f t="shared" si="29"/>
        <v>0</v>
      </c>
      <c r="K134" s="516">
        <f t="shared" si="30"/>
        <v>0</v>
      </c>
      <c r="L134" s="515">
        <f t="shared" si="31"/>
        <v>0</v>
      </c>
      <c r="M134" s="516">
        <f t="shared" si="32"/>
        <v>0</v>
      </c>
      <c r="P134" s="99" t="s">
        <v>1276</v>
      </c>
      <c r="Q134" s="574">
        <v>42975</v>
      </c>
      <c r="R134" s="574">
        <v>0</v>
      </c>
      <c r="S134" s="574">
        <v>0</v>
      </c>
      <c r="T134" s="574">
        <v>42975</v>
      </c>
      <c r="U134" s="574">
        <v>112530</v>
      </c>
      <c r="V134" s="574">
        <v>52323</v>
      </c>
      <c r="W134" s="574">
        <v>0</v>
      </c>
      <c r="X134" s="574">
        <v>164853</v>
      </c>
      <c r="Y134" s="575">
        <v>1347</v>
      </c>
      <c r="Z134" s="575">
        <v>3776</v>
      </c>
      <c r="AA134" s="575">
        <v>0</v>
      </c>
      <c r="AB134" s="575">
        <v>5123</v>
      </c>
      <c r="AC134" s="574">
        <v>3054</v>
      </c>
      <c r="AD134" s="574">
        <v>0</v>
      </c>
      <c r="AE134" s="574">
        <v>0</v>
      </c>
      <c r="AF134" s="574">
        <v>3054</v>
      </c>
      <c r="AG134" s="574">
        <v>7409</v>
      </c>
      <c r="AH134" s="574">
        <v>0</v>
      </c>
      <c r="AI134" s="574">
        <v>0</v>
      </c>
      <c r="AJ134" s="574">
        <v>7409</v>
      </c>
      <c r="AK134" s="574">
        <v>0</v>
      </c>
      <c r="AL134" s="574">
        <v>0</v>
      </c>
      <c r="AM134" s="574">
        <v>0</v>
      </c>
      <c r="AN134" s="574">
        <v>0</v>
      </c>
    </row>
    <row r="135" spans="1:41" ht="14">
      <c r="A135" s="518" t="s">
        <v>1277</v>
      </c>
      <c r="B135" s="515">
        <f t="shared" si="23"/>
        <v>0</v>
      </c>
      <c r="C135" s="516">
        <f t="shared" si="24"/>
        <v>0</v>
      </c>
      <c r="D135" s="515">
        <f t="shared" si="25"/>
        <v>0</v>
      </c>
      <c r="E135" s="516">
        <f t="shared" si="26"/>
        <v>0</v>
      </c>
      <c r="F135" s="514"/>
      <c r="G135" s="514"/>
      <c r="H135" s="528">
        <f t="shared" si="27"/>
        <v>0</v>
      </c>
      <c r="I135" s="529">
        <f t="shared" si="28"/>
        <v>0</v>
      </c>
      <c r="J135" s="528">
        <f t="shared" si="29"/>
        <v>0</v>
      </c>
      <c r="K135" s="516">
        <f t="shared" si="30"/>
        <v>0</v>
      </c>
      <c r="L135" s="515">
        <f t="shared" si="31"/>
        <v>0</v>
      </c>
      <c r="M135" s="516">
        <f t="shared" si="32"/>
        <v>0</v>
      </c>
      <c r="P135" s="568" t="s">
        <v>1277</v>
      </c>
      <c r="Q135" s="574">
        <v>0</v>
      </c>
      <c r="R135" s="574">
        <v>0</v>
      </c>
      <c r="S135" s="574">
        <v>0</v>
      </c>
      <c r="T135" s="574">
        <v>0</v>
      </c>
      <c r="U135" s="574">
        <v>0</v>
      </c>
      <c r="V135" s="574">
        <v>0</v>
      </c>
      <c r="W135" s="574">
        <v>0</v>
      </c>
      <c r="X135" s="574">
        <v>0</v>
      </c>
      <c r="Y135" s="575">
        <v>93496</v>
      </c>
      <c r="Z135" s="575">
        <v>53946</v>
      </c>
      <c r="AA135" s="575">
        <v>0</v>
      </c>
      <c r="AB135" s="575">
        <v>147442</v>
      </c>
      <c r="AC135" s="574">
        <v>0</v>
      </c>
      <c r="AD135" s="574">
        <v>0</v>
      </c>
      <c r="AE135" s="574">
        <v>0</v>
      </c>
      <c r="AF135" s="574">
        <v>0</v>
      </c>
      <c r="AG135" s="574">
        <v>0</v>
      </c>
      <c r="AH135" s="574">
        <v>0</v>
      </c>
      <c r="AI135" s="574">
        <v>0</v>
      </c>
      <c r="AJ135" s="574">
        <v>0</v>
      </c>
      <c r="AK135" s="574">
        <v>0</v>
      </c>
      <c r="AL135" s="574">
        <v>0</v>
      </c>
      <c r="AM135" s="574">
        <v>0</v>
      </c>
      <c r="AN135" s="574">
        <v>0</v>
      </c>
    </row>
    <row r="136" spans="1:41" ht="14">
      <c r="A136" s="518" t="s">
        <v>1278</v>
      </c>
      <c r="B136" s="515">
        <f t="shared" si="23"/>
        <v>0</v>
      </c>
      <c r="C136" s="516">
        <f t="shared" si="24"/>
        <v>0</v>
      </c>
      <c r="D136" s="515">
        <f t="shared" si="25"/>
        <v>0</v>
      </c>
      <c r="E136" s="516">
        <f t="shared" si="26"/>
        <v>0</v>
      </c>
      <c r="F136" s="514"/>
      <c r="G136" s="514"/>
      <c r="H136" s="528">
        <f t="shared" si="27"/>
        <v>0</v>
      </c>
      <c r="I136" s="529">
        <f t="shared" si="28"/>
        <v>0</v>
      </c>
      <c r="J136" s="528">
        <f t="shared" si="29"/>
        <v>0</v>
      </c>
      <c r="K136" s="516">
        <f t="shared" si="30"/>
        <v>0</v>
      </c>
      <c r="L136" s="515">
        <f t="shared" si="31"/>
        <v>0</v>
      </c>
      <c r="M136" s="516">
        <f t="shared" si="32"/>
        <v>0</v>
      </c>
      <c r="P136" s="568" t="s">
        <v>1278</v>
      </c>
      <c r="Q136" s="574">
        <v>348121</v>
      </c>
      <c r="R136" s="574">
        <v>0</v>
      </c>
      <c r="S136" s="574">
        <v>36992</v>
      </c>
      <c r="T136" s="574">
        <v>385113</v>
      </c>
      <c r="U136" s="574">
        <v>1864992</v>
      </c>
      <c r="V136" s="574">
        <v>6348</v>
      </c>
      <c r="W136" s="574">
        <v>62831</v>
      </c>
      <c r="X136" s="574">
        <v>1934171</v>
      </c>
      <c r="Y136" s="575">
        <v>33582</v>
      </c>
      <c r="Z136" s="575">
        <v>0</v>
      </c>
      <c r="AA136" s="575">
        <v>0</v>
      </c>
      <c r="AB136" s="575">
        <v>33582</v>
      </c>
      <c r="AC136" s="574">
        <v>164361</v>
      </c>
      <c r="AD136" s="574">
        <v>0</v>
      </c>
      <c r="AE136" s="574">
        <v>0</v>
      </c>
      <c r="AF136" s="574">
        <v>164361</v>
      </c>
      <c r="AG136" s="574">
        <v>10380</v>
      </c>
      <c r="AH136" s="574">
        <v>0</v>
      </c>
      <c r="AI136" s="574">
        <v>0</v>
      </c>
      <c r="AJ136" s="574">
        <v>10380</v>
      </c>
      <c r="AK136" s="574">
        <v>0</v>
      </c>
      <c r="AL136" s="574">
        <v>0</v>
      </c>
      <c r="AM136" s="574">
        <v>0</v>
      </c>
      <c r="AN136" s="574">
        <v>0</v>
      </c>
    </row>
    <row r="137" spans="1:41" ht="14">
      <c r="A137" s="530" t="s">
        <v>1279</v>
      </c>
      <c r="B137" s="515">
        <f t="shared" si="23"/>
        <v>8925065.1944373362</v>
      </c>
      <c r="C137" s="516">
        <f t="shared" si="24"/>
        <v>102583.73064350913</v>
      </c>
      <c r="D137" s="515">
        <f t="shared" si="25"/>
        <v>0</v>
      </c>
      <c r="E137" s="516">
        <f t="shared" si="26"/>
        <v>0</v>
      </c>
      <c r="F137" s="514"/>
      <c r="G137" s="514"/>
      <c r="H137" s="528">
        <f t="shared" si="27"/>
        <v>0</v>
      </c>
      <c r="I137" s="529">
        <f t="shared" si="28"/>
        <v>0</v>
      </c>
      <c r="J137" s="528">
        <f t="shared" si="29"/>
        <v>0</v>
      </c>
      <c r="K137" s="516">
        <f t="shared" si="30"/>
        <v>0</v>
      </c>
      <c r="L137" s="515">
        <f t="shared" si="31"/>
        <v>0</v>
      </c>
      <c r="M137" s="516">
        <f t="shared" si="32"/>
        <v>0</v>
      </c>
      <c r="P137" s="568" t="s">
        <v>1279</v>
      </c>
      <c r="Q137" s="574">
        <v>636077</v>
      </c>
      <c r="R137" s="574">
        <v>7311</v>
      </c>
      <c r="S137" s="574">
        <v>0</v>
      </c>
      <c r="T137" s="574">
        <v>643388</v>
      </c>
      <c r="U137" s="574">
        <v>0</v>
      </c>
      <c r="V137" s="574">
        <v>0</v>
      </c>
      <c r="W137" s="574">
        <v>0</v>
      </c>
      <c r="X137" s="574">
        <v>0</v>
      </c>
      <c r="Y137" s="575">
        <v>0</v>
      </c>
      <c r="Z137" s="575">
        <v>59616</v>
      </c>
      <c r="AA137" s="575">
        <v>0</v>
      </c>
      <c r="AB137" s="575">
        <v>59616</v>
      </c>
      <c r="AC137" s="574">
        <v>0</v>
      </c>
      <c r="AD137" s="574">
        <v>0</v>
      </c>
      <c r="AE137" s="574">
        <v>0</v>
      </c>
      <c r="AF137" s="574">
        <v>0</v>
      </c>
      <c r="AG137" s="574">
        <v>0</v>
      </c>
      <c r="AH137" s="574">
        <v>0</v>
      </c>
      <c r="AI137" s="574">
        <v>0</v>
      </c>
      <c r="AJ137" s="574">
        <v>0</v>
      </c>
      <c r="AK137" s="574">
        <v>0</v>
      </c>
      <c r="AL137" s="574">
        <v>0</v>
      </c>
      <c r="AM137" s="574">
        <v>0</v>
      </c>
      <c r="AN137" s="574">
        <v>0</v>
      </c>
    </row>
    <row r="138" spans="1:41" ht="14">
      <c r="A138" s="523"/>
      <c r="B138" s="531"/>
      <c r="C138" s="531"/>
      <c r="D138" s="531"/>
      <c r="E138" s="531"/>
      <c r="F138" s="532"/>
      <c r="G138" s="532"/>
      <c r="H138" s="531"/>
      <c r="I138" s="531"/>
      <c r="J138" s="531"/>
      <c r="K138" s="531"/>
      <c r="L138" s="531"/>
      <c r="M138" s="524"/>
      <c r="P138" s="569" t="s">
        <v>190</v>
      </c>
      <c r="Q138" s="570">
        <v>1175775</v>
      </c>
      <c r="R138" s="570">
        <v>8231</v>
      </c>
      <c r="S138" s="570">
        <v>36992</v>
      </c>
      <c r="T138" s="570">
        <v>1220998</v>
      </c>
      <c r="U138" s="570">
        <v>2464443</v>
      </c>
      <c r="V138" s="570">
        <v>102956</v>
      </c>
      <c r="W138" s="570">
        <v>62831</v>
      </c>
      <c r="X138" s="570">
        <v>2630230</v>
      </c>
      <c r="Y138" s="570">
        <v>1155891</v>
      </c>
      <c r="Z138" s="570">
        <v>757454</v>
      </c>
      <c r="AA138" s="570">
        <v>0</v>
      </c>
      <c r="AB138" s="570">
        <v>1913345</v>
      </c>
      <c r="AC138" s="570">
        <v>195770</v>
      </c>
      <c r="AD138" s="570">
        <v>0</v>
      </c>
      <c r="AE138" s="570">
        <v>0</v>
      </c>
      <c r="AF138" s="570">
        <v>195770</v>
      </c>
      <c r="AG138" s="570">
        <v>420313</v>
      </c>
      <c r="AH138" s="570">
        <v>0</v>
      </c>
      <c r="AI138" s="570">
        <v>0</v>
      </c>
      <c r="AJ138" s="570">
        <v>420313</v>
      </c>
      <c r="AK138" s="570">
        <v>150811</v>
      </c>
      <c r="AL138" s="570">
        <v>14015</v>
      </c>
      <c r="AM138" s="570">
        <v>0</v>
      </c>
      <c r="AN138" s="570">
        <v>164826</v>
      </c>
      <c r="AO138" s="97">
        <f>T138+X138+AB138+AF138+AJ138+AN138</f>
        <v>6545482</v>
      </c>
    </row>
    <row r="139" spans="1:41" ht="14">
      <c r="A139" s="533"/>
      <c r="B139" s="534"/>
      <c r="C139" s="534"/>
      <c r="D139" s="534"/>
      <c r="E139" s="534"/>
      <c r="I139" s="534"/>
      <c r="J139" s="534"/>
      <c r="K139" s="534"/>
      <c r="L139" s="534"/>
      <c r="M139" s="534"/>
      <c r="N139" s="534"/>
      <c r="Q139" s="576"/>
      <c r="R139" s="576"/>
      <c r="S139" s="576"/>
      <c r="T139" s="576"/>
      <c r="U139" s="576"/>
      <c r="V139" s="576"/>
      <c r="W139" s="576"/>
      <c r="X139" s="576"/>
      <c r="Y139" s="576"/>
      <c r="Z139" s="577"/>
      <c r="AA139" s="576"/>
      <c r="AB139" s="576"/>
      <c r="AC139" s="576"/>
      <c r="AD139" s="576"/>
      <c r="AE139" s="576"/>
      <c r="AF139" s="576"/>
      <c r="AG139" s="576"/>
      <c r="AH139" s="576"/>
      <c r="AI139" s="576"/>
      <c r="AJ139" s="576"/>
      <c r="AK139" s="576"/>
      <c r="AL139" s="576"/>
      <c r="AM139" s="576"/>
      <c r="AN139" s="576"/>
    </row>
    <row r="140" spans="1:41" ht="14.5" thickBot="1">
      <c r="A140" s="526"/>
      <c r="B140" s="526"/>
      <c r="C140" s="45"/>
      <c r="D140" s="45"/>
      <c r="E140" s="45"/>
      <c r="I140" s="45"/>
      <c r="J140" s="45"/>
    </row>
    <row r="141" spans="1:41" ht="13" thickBot="1">
      <c r="A141" s="838" t="s">
        <v>1337</v>
      </c>
      <c r="B141" s="812"/>
      <c r="C141" s="812"/>
      <c r="D141" s="812"/>
      <c r="E141" s="812"/>
      <c r="F141" s="812"/>
      <c r="G141" s="812"/>
      <c r="H141" s="812"/>
      <c r="I141" s="812"/>
      <c r="J141" s="812"/>
      <c r="K141" s="812"/>
      <c r="L141" s="812"/>
      <c r="M141" s="813"/>
      <c r="N141" s="96"/>
      <c r="P141" s="805" t="s">
        <v>1338</v>
      </c>
      <c r="Q141" s="816" t="s">
        <v>1337</v>
      </c>
      <c r="R141" s="817"/>
      <c r="S141" s="817"/>
      <c r="T141" s="817"/>
      <c r="U141" s="817"/>
      <c r="V141" s="817"/>
      <c r="W141" s="817"/>
      <c r="X141" s="817"/>
      <c r="Y141" s="817"/>
      <c r="Z141" s="817"/>
      <c r="AA141" s="817"/>
      <c r="AB141" s="817"/>
      <c r="AC141" s="817"/>
      <c r="AD141" s="817"/>
      <c r="AE141" s="819"/>
      <c r="AF141" s="819"/>
      <c r="AG141" s="819"/>
      <c r="AH141" s="820"/>
    </row>
    <row r="142" spans="1:41" ht="57.75" customHeight="1" thickBot="1">
      <c r="A142" s="814" t="s">
        <v>1293</v>
      </c>
      <c r="B142" s="809" t="s">
        <v>1291</v>
      </c>
      <c r="C142" s="807" t="s">
        <v>1292</v>
      </c>
      <c r="D142" s="809" t="s">
        <v>1339</v>
      </c>
      <c r="E142" s="807" t="s">
        <v>1340</v>
      </c>
      <c r="F142" s="809" t="s">
        <v>1341</v>
      </c>
      <c r="G142" s="807" t="s">
        <v>1342</v>
      </c>
      <c r="H142" s="809" t="s">
        <v>1343</v>
      </c>
      <c r="I142" s="807" t="s">
        <v>1344</v>
      </c>
      <c r="J142" s="809" t="s">
        <v>1345</v>
      </c>
      <c r="K142" s="807" t="s">
        <v>1346</v>
      </c>
      <c r="L142" s="809" t="s">
        <v>1347</v>
      </c>
      <c r="M142" s="807" t="s">
        <v>1348</v>
      </c>
      <c r="P142" s="831" t="s">
        <v>1297</v>
      </c>
      <c r="Q142" s="816" t="s">
        <v>226</v>
      </c>
      <c r="R142" s="817"/>
      <c r="S142" s="818"/>
      <c r="T142" s="816" t="s">
        <v>206</v>
      </c>
      <c r="U142" s="817"/>
      <c r="V142" s="818"/>
      <c r="W142" s="816" t="s">
        <v>222</v>
      </c>
      <c r="X142" s="817"/>
      <c r="Y142" s="818"/>
      <c r="Z142" s="821" t="s">
        <v>223</v>
      </c>
      <c r="AA142" s="822"/>
      <c r="AB142" s="823"/>
      <c r="AC142" s="816" t="s">
        <v>225</v>
      </c>
      <c r="AD142" s="817"/>
      <c r="AE142" s="818"/>
      <c r="AF142" s="817" t="s">
        <v>224</v>
      </c>
      <c r="AG142" s="817"/>
      <c r="AH142" s="818"/>
    </row>
    <row r="143" spans="1:41" ht="13" thickBot="1">
      <c r="A143" s="815"/>
      <c r="B143" s="810"/>
      <c r="C143" s="808"/>
      <c r="D143" s="810"/>
      <c r="E143" s="808"/>
      <c r="F143" s="810" t="s">
        <v>1294</v>
      </c>
      <c r="G143" s="808" t="s">
        <v>1294</v>
      </c>
      <c r="H143" s="810" t="s">
        <v>1294</v>
      </c>
      <c r="I143" s="808" t="s">
        <v>1294</v>
      </c>
      <c r="J143" s="810" t="s">
        <v>1294</v>
      </c>
      <c r="K143" s="808" t="s">
        <v>1294</v>
      </c>
      <c r="L143" s="810" t="s">
        <v>1294</v>
      </c>
      <c r="M143" s="808" t="s">
        <v>1294</v>
      </c>
      <c r="P143" s="806">
        <v>8189294</v>
      </c>
      <c r="Q143" s="154" t="s">
        <v>1294</v>
      </c>
      <c r="R143" s="48" t="s">
        <v>1295</v>
      </c>
      <c r="S143" s="48" t="s">
        <v>1296</v>
      </c>
      <c r="T143" s="154" t="s">
        <v>1294</v>
      </c>
      <c r="U143" s="48" t="s">
        <v>1295</v>
      </c>
      <c r="V143" s="48" t="s">
        <v>1296</v>
      </c>
      <c r="W143" s="154" t="s">
        <v>1294</v>
      </c>
      <c r="X143" s="48" t="s">
        <v>1295</v>
      </c>
      <c r="Y143" s="48" t="s">
        <v>1296</v>
      </c>
      <c r="Z143" s="563" t="s">
        <v>1294</v>
      </c>
      <c r="AA143" s="564" t="s">
        <v>1295</v>
      </c>
      <c r="AB143" s="564" t="s">
        <v>1296</v>
      </c>
      <c r="AC143" s="154" t="s">
        <v>1294</v>
      </c>
      <c r="AD143" s="48" t="s">
        <v>1295</v>
      </c>
      <c r="AE143" s="48" t="s">
        <v>1296</v>
      </c>
      <c r="AF143" s="525" t="s">
        <v>1294</v>
      </c>
      <c r="AG143" s="48" t="s">
        <v>1295</v>
      </c>
      <c r="AH143" s="48" t="s">
        <v>1296</v>
      </c>
    </row>
    <row r="144" spans="1:41" ht="14">
      <c r="A144" s="98" t="s">
        <v>2285</v>
      </c>
      <c r="B144" s="536">
        <f t="shared" ref="B144:B162" si="33">Q144*$E36</f>
        <v>0</v>
      </c>
      <c r="C144" s="537">
        <f t="shared" ref="C144:C162" si="34">R144*$E36</f>
        <v>0</v>
      </c>
      <c r="D144" s="536">
        <f t="shared" ref="D144:D162" si="35">T144*$E36</f>
        <v>0</v>
      </c>
      <c r="E144" s="537">
        <f t="shared" ref="E144:E162" si="36">U144*$E36</f>
        <v>0</v>
      </c>
      <c r="F144" s="536">
        <f t="shared" ref="F144:F162" si="37">W144*$E36</f>
        <v>0</v>
      </c>
      <c r="G144" s="537">
        <f t="shared" ref="G144:G162" si="38">X144*$E36</f>
        <v>0</v>
      </c>
      <c r="H144" s="538"/>
      <c r="I144" s="538"/>
      <c r="J144" s="536">
        <f t="shared" ref="J144:J162" si="39">AC144*$E36</f>
        <v>0</v>
      </c>
      <c r="K144" s="537">
        <f t="shared" ref="K144:K162" si="40">AD144*$E36</f>
        <v>0</v>
      </c>
      <c r="L144" s="536">
        <f t="shared" ref="L144:L162" si="41">AF144*$E36</f>
        <v>0</v>
      </c>
      <c r="M144" s="516">
        <f t="shared" ref="M144:M162" si="42">AG144*$E36</f>
        <v>0</v>
      </c>
      <c r="P144" s="99" t="s">
        <v>2285</v>
      </c>
      <c r="Q144" s="567">
        <v>0</v>
      </c>
      <c r="R144" s="567">
        <v>0</v>
      </c>
      <c r="S144" s="567">
        <v>0</v>
      </c>
      <c r="T144" s="567">
        <v>0</v>
      </c>
      <c r="U144" s="567">
        <v>0</v>
      </c>
      <c r="V144" s="567">
        <v>0</v>
      </c>
      <c r="W144" s="567">
        <v>0</v>
      </c>
      <c r="X144" s="567">
        <v>0</v>
      </c>
      <c r="Y144" s="567">
        <v>0</v>
      </c>
      <c r="Z144" s="566">
        <v>0</v>
      </c>
      <c r="AA144" s="566">
        <v>0</v>
      </c>
      <c r="AB144" s="566">
        <v>0</v>
      </c>
      <c r="AC144" s="567">
        <v>0</v>
      </c>
      <c r="AD144" s="567">
        <v>0</v>
      </c>
      <c r="AE144" s="567">
        <v>0</v>
      </c>
      <c r="AF144" s="567">
        <v>0</v>
      </c>
      <c r="AG144" s="567">
        <v>0</v>
      </c>
      <c r="AH144" s="567">
        <v>0</v>
      </c>
    </row>
    <row r="145" spans="1:34" ht="14">
      <c r="A145" s="518" t="s">
        <v>1262</v>
      </c>
      <c r="B145" s="536">
        <f t="shared" si="33"/>
        <v>2629412.866894356</v>
      </c>
      <c r="C145" s="537">
        <f t="shared" si="34"/>
        <v>0</v>
      </c>
      <c r="D145" s="536">
        <f t="shared" si="35"/>
        <v>0</v>
      </c>
      <c r="E145" s="537">
        <f t="shared" si="36"/>
        <v>0</v>
      </c>
      <c r="F145" s="536">
        <f t="shared" si="37"/>
        <v>11971.827582163936</v>
      </c>
      <c r="G145" s="537">
        <f t="shared" si="38"/>
        <v>0</v>
      </c>
      <c r="H145" s="538"/>
      <c r="I145" s="538"/>
      <c r="J145" s="536">
        <f t="shared" si="39"/>
        <v>197134.21845929875</v>
      </c>
      <c r="K145" s="537">
        <f t="shared" si="40"/>
        <v>0</v>
      </c>
      <c r="L145" s="536">
        <f t="shared" si="41"/>
        <v>0</v>
      </c>
      <c r="M145" s="516">
        <f t="shared" si="42"/>
        <v>0</v>
      </c>
      <c r="P145" s="568" t="s">
        <v>1262</v>
      </c>
      <c r="Q145" s="567">
        <v>186908</v>
      </c>
      <c r="R145" s="567">
        <v>0</v>
      </c>
      <c r="S145" s="567">
        <v>186908</v>
      </c>
      <c r="T145" s="567">
        <v>0</v>
      </c>
      <c r="U145" s="567">
        <v>0</v>
      </c>
      <c r="V145" s="567">
        <v>0</v>
      </c>
      <c r="W145" s="567">
        <v>851</v>
      </c>
      <c r="X145" s="567">
        <v>0</v>
      </c>
      <c r="Y145" s="567">
        <v>851</v>
      </c>
      <c r="Z145" s="566">
        <v>456094</v>
      </c>
      <c r="AA145" s="566">
        <v>0</v>
      </c>
      <c r="AB145" s="566">
        <v>456094</v>
      </c>
      <c r="AC145" s="567">
        <v>14013</v>
      </c>
      <c r="AD145" s="567">
        <v>0</v>
      </c>
      <c r="AE145" s="567">
        <v>14013</v>
      </c>
      <c r="AF145" s="567">
        <v>0</v>
      </c>
      <c r="AG145" s="567">
        <v>0</v>
      </c>
      <c r="AH145" s="567">
        <v>0</v>
      </c>
    </row>
    <row r="146" spans="1:34" ht="14">
      <c r="A146" s="518" t="s">
        <v>1263</v>
      </c>
      <c r="B146" s="536">
        <f t="shared" si="33"/>
        <v>0</v>
      </c>
      <c r="C146" s="537">
        <f t="shared" si="34"/>
        <v>0</v>
      </c>
      <c r="D146" s="536">
        <f t="shared" si="35"/>
        <v>0</v>
      </c>
      <c r="E146" s="537">
        <f t="shared" si="36"/>
        <v>0</v>
      </c>
      <c r="F146" s="536">
        <f t="shared" si="37"/>
        <v>0</v>
      </c>
      <c r="G146" s="537">
        <f t="shared" si="38"/>
        <v>0</v>
      </c>
      <c r="H146" s="538"/>
      <c r="I146" s="538"/>
      <c r="J146" s="536">
        <f t="shared" si="39"/>
        <v>0</v>
      </c>
      <c r="K146" s="537">
        <f t="shared" si="40"/>
        <v>0</v>
      </c>
      <c r="L146" s="536">
        <f t="shared" si="41"/>
        <v>0</v>
      </c>
      <c r="M146" s="516">
        <f t="shared" si="42"/>
        <v>0</v>
      </c>
      <c r="P146" s="568" t="s">
        <v>1263</v>
      </c>
      <c r="Q146" s="567">
        <v>0</v>
      </c>
      <c r="R146" s="567">
        <v>0</v>
      </c>
      <c r="S146" s="567">
        <v>0</v>
      </c>
      <c r="T146" s="567">
        <v>0</v>
      </c>
      <c r="U146" s="567">
        <v>0</v>
      </c>
      <c r="V146" s="567">
        <v>0</v>
      </c>
      <c r="W146" s="567">
        <v>0</v>
      </c>
      <c r="X146" s="567">
        <v>0</v>
      </c>
      <c r="Y146" s="567">
        <v>0</v>
      </c>
      <c r="Z146" s="566">
        <v>0</v>
      </c>
      <c r="AA146" s="566">
        <v>0</v>
      </c>
      <c r="AB146" s="566">
        <v>0</v>
      </c>
      <c r="AC146" s="567">
        <v>0</v>
      </c>
      <c r="AD146" s="567">
        <v>0</v>
      </c>
      <c r="AE146" s="567">
        <v>0</v>
      </c>
      <c r="AF146" s="567">
        <v>0</v>
      </c>
      <c r="AG146" s="567">
        <v>0</v>
      </c>
      <c r="AH146" s="567">
        <v>0</v>
      </c>
    </row>
    <row r="147" spans="1:34" ht="14">
      <c r="A147" s="518" t="s">
        <v>1264</v>
      </c>
      <c r="B147" s="536">
        <f t="shared" si="33"/>
        <v>0</v>
      </c>
      <c r="C147" s="537">
        <f t="shared" si="34"/>
        <v>0</v>
      </c>
      <c r="D147" s="536">
        <f t="shared" si="35"/>
        <v>0</v>
      </c>
      <c r="E147" s="537">
        <f t="shared" si="36"/>
        <v>0</v>
      </c>
      <c r="F147" s="536">
        <f t="shared" si="37"/>
        <v>0</v>
      </c>
      <c r="G147" s="537">
        <f t="shared" si="38"/>
        <v>0</v>
      </c>
      <c r="H147" s="538"/>
      <c r="I147" s="538"/>
      <c r="J147" s="536">
        <f t="shared" si="39"/>
        <v>0</v>
      </c>
      <c r="K147" s="537">
        <f t="shared" si="40"/>
        <v>0</v>
      </c>
      <c r="L147" s="536">
        <f t="shared" si="41"/>
        <v>0</v>
      </c>
      <c r="M147" s="516">
        <f t="shared" si="42"/>
        <v>0</v>
      </c>
      <c r="P147" s="568" t="s">
        <v>1264</v>
      </c>
      <c r="Q147" s="567">
        <v>0</v>
      </c>
      <c r="R147" s="567">
        <v>0</v>
      </c>
      <c r="S147" s="567">
        <v>0</v>
      </c>
      <c r="T147" s="567">
        <v>0</v>
      </c>
      <c r="U147" s="567">
        <v>0</v>
      </c>
      <c r="V147" s="567">
        <v>0</v>
      </c>
      <c r="W147" s="567">
        <v>0</v>
      </c>
      <c r="X147" s="567">
        <v>0</v>
      </c>
      <c r="Y147" s="567">
        <v>0</v>
      </c>
      <c r="Z147" s="566">
        <v>0</v>
      </c>
      <c r="AA147" s="566">
        <v>0</v>
      </c>
      <c r="AB147" s="566">
        <v>0</v>
      </c>
      <c r="AC147" s="567">
        <v>0</v>
      </c>
      <c r="AD147" s="567">
        <v>0</v>
      </c>
      <c r="AE147" s="567">
        <v>0</v>
      </c>
      <c r="AF147" s="567">
        <v>0</v>
      </c>
      <c r="AG147" s="567">
        <v>0</v>
      </c>
      <c r="AH147" s="567">
        <v>0</v>
      </c>
    </row>
    <row r="148" spans="1:34" ht="14">
      <c r="A148" s="518" t="s">
        <v>1265</v>
      </c>
      <c r="B148" s="536">
        <f t="shared" si="33"/>
        <v>0</v>
      </c>
      <c r="C148" s="537">
        <f t="shared" si="34"/>
        <v>0</v>
      </c>
      <c r="D148" s="536">
        <f t="shared" si="35"/>
        <v>0</v>
      </c>
      <c r="E148" s="537">
        <f t="shared" si="36"/>
        <v>0</v>
      </c>
      <c r="F148" s="536">
        <f t="shared" si="37"/>
        <v>0</v>
      </c>
      <c r="G148" s="537">
        <f t="shared" si="38"/>
        <v>0</v>
      </c>
      <c r="H148" s="538"/>
      <c r="I148" s="538"/>
      <c r="J148" s="536">
        <f t="shared" si="39"/>
        <v>0</v>
      </c>
      <c r="K148" s="537">
        <f t="shared" si="40"/>
        <v>0</v>
      </c>
      <c r="L148" s="536">
        <f t="shared" si="41"/>
        <v>0</v>
      </c>
      <c r="M148" s="516">
        <f t="shared" si="42"/>
        <v>0</v>
      </c>
      <c r="P148" s="568" t="s">
        <v>1265</v>
      </c>
      <c r="Q148" s="567">
        <v>0</v>
      </c>
      <c r="R148" s="567">
        <v>0</v>
      </c>
      <c r="S148" s="567">
        <v>0</v>
      </c>
      <c r="T148" s="567">
        <v>0</v>
      </c>
      <c r="U148" s="567">
        <v>0</v>
      </c>
      <c r="V148" s="567">
        <v>0</v>
      </c>
      <c r="W148" s="567">
        <v>0</v>
      </c>
      <c r="X148" s="567">
        <v>0</v>
      </c>
      <c r="Y148" s="567">
        <v>0</v>
      </c>
      <c r="Z148" s="566">
        <v>0</v>
      </c>
      <c r="AA148" s="566">
        <v>0</v>
      </c>
      <c r="AB148" s="566">
        <v>0</v>
      </c>
      <c r="AC148" s="567">
        <v>0</v>
      </c>
      <c r="AD148" s="567">
        <v>0</v>
      </c>
      <c r="AE148" s="567">
        <v>0</v>
      </c>
      <c r="AF148" s="567">
        <v>0</v>
      </c>
      <c r="AG148" s="567">
        <v>0</v>
      </c>
      <c r="AH148" s="567">
        <v>0</v>
      </c>
    </row>
    <row r="149" spans="1:34" ht="14">
      <c r="A149" s="518" t="s">
        <v>1266</v>
      </c>
      <c r="B149" s="536">
        <f t="shared" si="33"/>
        <v>0</v>
      </c>
      <c r="C149" s="537">
        <f t="shared" si="34"/>
        <v>0</v>
      </c>
      <c r="D149" s="536">
        <f t="shared" si="35"/>
        <v>0</v>
      </c>
      <c r="E149" s="537">
        <f t="shared" si="36"/>
        <v>0</v>
      </c>
      <c r="F149" s="536">
        <f t="shared" si="37"/>
        <v>0</v>
      </c>
      <c r="G149" s="537">
        <f t="shared" si="38"/>
        <v>0</v>
      </c>
      <c r="H149" s="538"/>
      <c r="I149" s="538"/>
      <c r="J149" s="536">
        <f t="shared" si="39"/>
        <v>0</v>
      </c>
      <c r="K149" s="537">
        <f t="shared" si="40"/>
        <v>0</v>
      </c>
      <c r="L149" s="536">
        <f t="shared" si="41"/>
        <v>0</v>
      </c>
      <c r="M149" s="516">
        <f t="shared" si="42"/>
        <v>0</v>
      </c>
      <c r="P149" s="568" t="s">
        <v>1266</v>
      </c>
      <c r="Q149" s="567">
        <v>0</v>
      </c>
      <c r="R149" s="567">
        <v>0</v>
      </c>
      <c r="S149" s="567">
        <v>0</v>
      </c>
      <c r="T149" s="567">
        <v>0</v>
      </c>
      <c r="U149" s="567">
        <v>0</v>
      </c>
      <c r="V149" s="567">
        <v>0</v>
      </c>
      <c r="W149" s="567">
        <v>0</v>
      </c>
      <c r="X149" s="567">
        <v>0</v>
      </c>
      <c r="Y149" s="567">
        <v>0</v>
      </c>
      <c r="Z149" s="566">
        <v>0</v>
      </c>
      <c r="AA149" s="566">
        <v>0</v>
      </c>
      <c r="AB149" s="566">
        <v>0</v>
      </c>
      <c r="AC149" s="567">
        <v>0</v>
      </c>
      <c r="AD149" s="567">
        <v>0</v>
      </c>
      <c r="AE149" s="567">
        <v>0</v>
      </c>
      <c r="AF149" s="567">
        <v>0</v>
      </c>
      <c r="AG149" s="567">
        <v>0</v>
      </c>
      <c r="AH149" s="567">
        <v>0</v>
      </c>
    </row>
    <row r="150" spans="1:34" ht="14">
      <c r="A150" s="518" t="s">
        <v>1267</v>
      </c>
      <c r="B150" s="536">
        <f t="shared" si="33"/>
        <v>0</v>
      </c>
      <c r="C150" s="537">
        <f t="shared" si="34"/>
        <v>0</v>
      </c>
      <c r="D150" s="536">
        <f t="shared" si="35"/>
        <v>0</v>
      </c>
      <c r="E150" s="537">
        <f t="shared" si="36"/>
        <v>0</v>
      </c>
      <c r="F150" s="536">
        <f t="shared" si="37"/>
        <v>0</v>
      </c>
      <c r="G150" s="537">
        <f t="shared" si="38"/>
        <v>0</v>
      </c>
      <c r="H150" s="538"/>
      <c r="I150" s="538"/>
      <c r="J150" s="536">
        <f t="shared" si="39"/>
        <v>0</v>
      </c>
      <c r="K150" s="537">
        <f t="shared" si="40"/>
        <v>0</v>
      </c>
      <c r="L150" s="536">
        <f t="shared" si="41"/>
        <v>0</v>
      </c>
      <c r="M150" s="516">
        <f t="shared" si="42"/>
        <v>0</v>
      </c>
      <c r="P150" s="568" t="s">
        <v>1267</v>
      </c>
      <c r="Q150" s="567">
        <v>0</v>
      </c>
      <c r="R150" s="567">
        <v>0</v>
      </c>
      <c r="S150" s="567">
        <v>0</v>
      </c>
      <c r="T150" s="567">
        <v>0</v>
      </c>
      <c r="U150" s="567">
        <v>0</v>
      </c>
      <c r="V150" s="567">
        <v>0</v>
      </c>
      <c r="W150" s="567">
        <v>0</v>
      </c>
      <c r="X150" s="567">
        <v>0</v>
      </c>
      <c r="Y150" s="567">
        <v>0</v>
      </c>
      <c r="Z150" s="566">
        <v>0</v>
      </c>
      <c r="AA150" s="566">
        <v>0</v>
      </c>
      <c r="AB150" s="566">
        <v>0</v>
      </c>
      <c r="AC150" s="567">
        <v>0</v>
      </c>
      <c r="AD150" s="567">
        <v>0</v>
      </c>
      <c r="AE150" s="567">
        <v>0</v>
      </c>
      <c r="AF150" s="567">
        <v>0</v>
      </c>
      <c r="AG150" s="567">
        <v>0</v>
      </c>
      <c r="AH150" s="567">
        <v>0</v>
      </c>
    </row>
    <row r="151" spans="1:34" ht="14">
      <c r="A151" s="520" t="s">
        <v>1268</v>
      </c>
      <c r="B151" s="536">
        <f t="shared" si="33"/>
        <v>0</v>
      </c>
      <c r="C151" s="537">
        <f t="shared" si="34"/>
        <v>0</v>
      </c>
      <c r="D151" s="536">
        <f t="shared" si="35"/>
        <v>0</v>
      </c>
      <c r="E151" s="537">
        <f t="shared" si="36"/>
        <v>0</v>
      </c>
      <c r="F151" s="536">
        <f t="shared" si="37"/>
        <v>0</v>
      </c>
      <c r="G151" s="537">
        <f t="shared" si="38"/>
        <v>0</v>
      </c>
      <c r="H151" s="538"/>
      <c r="I151" s="538"/>
      <c r="J151" s="536">
        <f t="shared" si="39"/>
        <v>0</v>
      </c>
      <c r="K151" s="537">
        <f t="shared" si="40"/>
        <v>0</v>
      </c>
      <c r="L151" s="536">
        <f t="shared" si="41"/>
        <v>0</v>
      </c>
      <c r="M151" s="516">
        <f t="shared" si="42"/>
        <v>0</v>
      </c>
      <c r="P151" s="99" t="s">
        <v>1268</v>
      </c>
      <c r="Q151" s="567">
        <v>269197</v>
      </c>
      <c r="R151" s="567">
        <v>1603</v>
      </c>
      <c r="S151" s="567">
        <v>270800</v>
      </c>
      <c r="T151" s="567">
        <v>354811</v>
      </c>
      <c r="U151" s="567">
        <v>51446</v>
      </c>
      <c r="V151" s="567">
        <v>406257</v>
      </c>
      <c r="W151" s="567">
        <v>144370</v>
      </c>
      <c r="X151" s="567">
        <v>23999</v>
      </c>
      <c r="Y151" s="567">
        <v>168369</v>
      </c>
      <c r="Z151" s="566">
        <v>65723</v>
      </c>
      <c r="AA151" s="566">
        <v>9079</v>
      </c>
      <c r="AB151" s="566">
        <v>74802</v>
      </c>
      <c r="AC151" s="567">
        <v>26719</v>
      </c>
      <c r="AD151" s="567">
        <v>0</v>
      </c>
      <c r="AE151" s="567">
        <v>26719</v>
      </c>
      <c r="AF151" s="567">
        <v>10038</v>
      </c>
      <c r="AG151" s="567">
        <v>36000</v>
      </c>
      <c r="AH151" s="567">
        <v>46038</v>
      </c>
    </row>
    <row r="152" spans="1:34" ht="14">
      <c r="A152" s="520" t="s">
        <v>1269</v>
      </c>
      <c r="B152" s="536">
        <f t="shared" si="33"/>
        <v>0</v>
      </c>
      <c r="C152" s="537">
        <f t="shared" si="34"/>
        <v>0</v>
      </c>
      <c r="D152" s="536">
        <f t="shared" si="35"/>
        <v>0</v>
      </c>
      <c r="E152" s="537">
        <f t="shared" si="36"/>
        <v>0</v>
      </c>
      <c r="F152" s="536">
        <f t="shared" si="37"/>
        <v>0</v>
      </c>
      <c r="G152" s="537">
        <f t="shared" si="38"/>
        <v>0</v>
      </c>
      <c r="H152" s="538"/>
      <c r="I152" s="538"/>
      <c r="J152" s="536">
        <f t="shared" si="39"/>
        <v>0</v>
      </c>
      <c r="K152" s="537">
        <f t="shared" si="40"/>
        <v>0</v>
      </c>
      <c r="L152" s="536">
        <f t="shared" si="41"/>
        <v>0</v>
      </c>
      <c r="M152" s="516">
        <f t="shared" si="42"/>
        <v>0</v>
      </c>
      <c r="P152" s="99" t="s">
        <v>1269</v>
      </c>
      <c r="Q152" s="567">
        <v>0</v>
      </c>
      <c r="R152" s="567">
        <v>0</v>
      </c>
      <c r="S152" s="567">
        <v>0</v>
      </c>
      <c r="T152" s="567">
        <v>0</v>
      </c>
      <c r="U152" s="567">
        <v>0</v>
      </c>
      <c r="V152" s="567">
        <v>0</v>
      </c>
      <c r="W152" s="567">
        <v>0</v>
      </c>
      <c r="X152" s="567">
        <v>0</v>
      </c>
      <c r="Y152" s="567">
        <v>0</v>
      </c>
      <c r="Z152" s="566">
        <v>0</v>
      </c>
      <c r="AA152" s="566">
        <v>0</v>
      </c>
      <c r="AB152" s="566">
        <v>0</v>
      </c>
      <c r="AC152" s="567">
        <v>0</v>
      </c>
      <c r="AD152" s="567">
        <v>0</v>
      </c>
      <c r="AE152" s="567">
        <v>0</v>
      </c>
      <c r="AF152" s="567">
        <v>0</v>
      </c>
      <c r="AG152" s="567">
        <v>0</v>
      </c>
      <c r="AH152" s="567">
        <v>0</v>
      </c>
    </row>
    <row r="153" spans="1:34" ht="14">
      <c r="A153" s="518" t="s">
        <v>1270</v>
      </c>
      <c r="B153" s="536">
        <f t="shared" si="33"/>
        <v>0</v>
      </c>
      <c r="C153" s="537">
        <f t="shared" si="34"/>
        <v>0</v>
      </c>
      <c r="D153" s="536">
        <f t="shared" si="35"/>
        <v>0</v>
      </c>
      <c r="E153" s="537">
        <f t="shared" si="36"/>
        <v>0</v>
      </c>
      <c r="F153" s="536">
        <f t="shared" si="37"/>
        <v>0</v>
      </c>
      <c r="G153" s="537">
        <f t="shared" si="38"/>
        <v>0</v>
      </c>
      <c r="H153" s="538"/>
      <c r="I153" s="538"/>
      <c r="J153" s="536">
        <f t="shared" si="39"/>
        <v>0</v>
      </c>
      <c r="K153" s="537">
        <f t="shared" si="40"/>
        <v>0</v>
      </c>
      <c r="L153" s="536">
        <f t="shared" si="41"/>
        <v>0</v>
      </c>
      <c r="M153" s="516">
        <f t="shared" si="42"/>
        <v>0</v>
      </c>
      <c r="O153" s="522"/>
      <c r="P153" s="568" t="s">
        <v>1270</v>
      </c>
      <c r="Q153" s="567">
        <v>0</v>
      </c>
      <c r="R153" s="567">
        <v>0</v>
      </c>
      <c r="S153" s="567">
        <v>0</v>
      </c>
      <c r="T153" s="567">
        <v>0</v>
      </c>
      <c r="U153" s="567">
        <v>0</v>
      </c>
      <c r="V153" s="567">
        <v>0</v>
      </c>
      <c r="W153" s="567">
        <v>0</v>
      </c>
      <c r="X153" s="567">
        <v>0</v>
      </c>
      <c r="Y153" s="567">
        <v>0</v>
      </c>
      <c r="Z153" s="566">
        <v>0</v>
      </c>
      <c r="AA153" s="566">
        <v>0</v>
      </c>
      <c r="AB153" s="566">
        <v>0</v>
      </c>
      <c r="AC153" s="567">
        <v>0</v>
      </c>
      <c r="AD153" s="567">
        <v>0</v>
      </c>
      <c r="AE153" s="567">
        <v>0</v>
      </c>
      <c r="AF153" s="567">
        <v>0</v>
      </c>
      <c r="AG153" s="567">
        <v>0</v>
      </c>
      <c r="AH153" s="567">
        <v>0</v>
      </c>
    </row>
    <row r="154" spans="1:34" ht="14">
      <c r="A154" s="518" t="s">
        <v>1271</v>
      </c>
      <c r="B154" s="536">
        <f t="shared" si="33"/>
        <v>938911.51546740299</v>
      </c>
      <c r="C154" s="537">
        <f t="shared" si="34"/>
        <v>506817.10615878738</v>
      </c>
      <c r="D154" s="536">
        <f t="shared" si="35"/>
        <v>249620.56409534006</v>
      </c>
      <c r="E154" s="537">
        <f t="shared" si="36"/>
        <v>185532.36068067842</v>
      </c>
      <c r="F154" s="536">
        <f t="shared" si="37"/>
        <v>0</v>
      </c>
      <c r="G154" s="537">
        <f t="shared" si="38"/>
        <v>0</v>
      </c>
      <c r="H154" s="538"/>
      <c r="I154" s="538"/>
      <c r="J154" s="536">
        <f t="shared" si="39"/>
        <v>0</v>
      </c>
      <c r="K154" s="537">
        <f t="shared" si="40"/>
        <v>0</v>
      </c>
      <c r="L154" s="536">
        <f t="shared" si="41"/>
        <v>0</v>
      </c>
      <c r="M154" s="516">
        <f t="shared" si="42"/>
        <v>0</v>
      </c>
      <c r="P154" s="568" t="s">
        <v>1271</v>
      </c>
      <c r="Q154" s="567">
        <v>53415</v>
      </c>
      <c r="R154" s="567">
        <v>28833</v>
      </c>
      <c r="S154" s="567">
        <v>82248</v>
      </c>
      <c r="T154" s="567">
        <v>14201</v>
      </c>
      <c r="U154" s="567">
        <v>10555</v>
      </c>
      <c r="V154" s="567">
        <v>24756</v>
      </c>
      <c r="W154" s="567">
        <v>0</v>
      </c>
      <c r="X154" s="567">
        <v>0</v>
      </c>
      <c r="Y154" s="567">
        <v>0</v>
      </c>
      <c r="Z154" s="566">
        <v>4827</v>
      </c>
      <c r="AA154" s="566">
        <v>15173</v>
      </c>
      <c r="AB154" s="566">
        <v>20000</v>
      </c>
      <c r="AC154" s="567">
        <v>0</v>
      </c>
      <c r="AD154" s="567">
        <v>0</v>
      </c>
      <c r="AE154" s="567">
        <v>0</v>
      </c>
      <c r="AF154" s="567">
        <v>0</v>
      </c>
      <c r="AG154" s="567">
        <v>0</v>
      </c>
      <c r="AH154" s="567">
        <v>0</v>
      </c>
    </row>
    <row r="155" spans="1:34" ht="14">
      <c r="A155" s="518" t="s">
        <v>1272</v>
      </c>
      <c r="B155" s="536">
        <f t="shared" si="33"/>
        <v>0</v>
      </c>
      <c r="C155" s="537">
        <f t="shared" si="34"/>
        <v>0</v>
      </c>
      <c r="D155" s="536">
        <f t="shared" si="35"/>
        <v>0</v>
      </c>
      <c r="E155" s="537">
        <f t="shared" si="36"/>
        <v>0</v>
      </c>
      <c r="F155" s="536">
        <f t="shared" si="37"/>
        <v>0</v>
      </c>
      <c r="G155" s="537">
        <f t="shared" si="38"/>
        <v>0</v>
      </c>
      <c r="H155" s="538"/>
      <c r="I155" s="538"/>
      <c r="J155" s="536">
        <f t="shared" si="39"/>
        <v>0</v>
      </c>
      <c r="K155" s="537">
        <f t="shared" si="40"/>
        <v>0</v>
      </c>
      <c r="L155" s="536">
        <f t="shared" si="41"/>
        <v>0</v>
      </c>
      <c r="M155" s="516">
        <f t="shared" si="42"/>
        <v>0</v>
      </c>
      <c r="P155" s="568" t="s">
        <v>1272</v>
      </c>
      <c r="Q155" s="567">
        <v>0</v>
      </c>
      <c r="R155" s="567">
        <v>0</v>
      </c>
      <c r="S155" s="567">
        <v>0</v>
      </c>
      <c r="T155" s="567">
        <v>0</v>
      </c>
      <c r="U155" s="567">
        <v>0</v>
      </c>
      <c r="V155" s="567">
        <v>0</v>
      </c>
      <c r="W155" s="567">
        <v>0</v>
      </c>
      <c r="X155" s="567">
        <v>0</v>
      </c>
      <c r="Y155" s="567">
        <v>0</v>
      </c>
      <c r="Z155" s="566">
        <v>0</v>
      </c>
      <c r="AA155" s="566">
        <v>0</v>
      </c>
      <c r="AB155" s="566">
        <v>0</v>
      </c>
      <c r="AC155" s="567">
        <v>0</v>
      </c>
      <c r="AD155" s="567">
        <v>0</v>
      </c>
      <c r="AE155" s="567">
        <v>0</v>
      </c>
      <c r="AF155" s="567">
        <v>0</v>
      </c>
      <c r="AG155" s="567">
        <v>0</v>
      </c>
      <c r="AH155" s="567">
        <v>0</v>
      </c>
    </row>
    <row r="156" spans="1:34" ht="14">
      <c r="A156" s="518" t="s">
        <v>1273</v>
      </c>
      <c r="B156" s="536">
        <f t="shared" si="33"/>
        <v>0</v>
      </c>
      <c r="C156" s="537">
        <f t="shared" si="34"/>
        <v>0</v>
      </c>
      <c r="D156" s="536">
        <f t="shared" si="35"/>
        <v>0</v>
      </c>
      <c r="E156" s="537">
        <f t="shared" si="36"/>
        <v>0</v>
      </c>
      <c r="F156" s="536">
        <f t="shared" si="37"/>
        <v>0</v>
      </c>
      <c r="G156" s="537">
        <f t="shared" si="38"/>
        <v>0</v>
      </c>
      <c r="H156" s="538"/>
      <c r="I156" s="538"/>
      <c r="J156" s="536">
        <f t="shared" si="39"/>
        <v>0</v>
      </c>
      <c r="K156" s="537">
        <f t="shared" si="40"/>
        <v>0</v>
      </c>
      <c r="L156" s="536">
        <f t="shared" si="41"/>
        <v>0</v>
      </c>
      <c r="M156" s="516">
        <f t="shared" si="42"/>
        <v>0</v>
      </c>
      <c r="P156" s="568" t="s">
        <v>1273</v>
      </c>
      <c r="Q156" s="567">
        <v>0</v>
      </c>
      <c r="R156" s="567">
        <v>0</v>
      </c>
      <c r="S156" s="567">
        <v>0</v>
      </c>
      <c r="T156" s="567">
        <v>0</v>
      </c>
      <c r="U156" s="567">
        <v>0</v>
      </c>
      <c r="V156" s="567">
        <v>0</v>
      </c>
      <c r="W156" s="567">
        <v>0</v>
      </c>
      <c r="X156" s="567">
        <v>0</v>
      </c>
      <c r="Y156" s="567">
        <v>0</v>
      </c>
      <c r="Z156" s="566">
        <v>0</v>
      </c>
      <c r="AA156" s="566">
        <v>0</v>
      </c>
      <c r="AB156" s="566">
        <v>0</v>
      </c>
      <c r="AC156" s="567">
        <v>0</v>
      </c>
      <c r="AD156" s="567">
        <v>0</v>
      </c>
      <c r="AE156" s="567">
        <v>0</v>
      </c>
      <c r="AF156" s="567">
        <v>0</v>
      </c>
      <c r="AG156" s="567">
        <v>0</v>
      </c>
      <c r="AH156" s="567">
        <v>0</v>
      </c>
    </row>
    <row r="157" spans="1:34" ht="14">
      <c r="A157" s="518" t="s">
        <v>1274</v>
      </c>
      <c r="B157" s="536">
        <f t="shared" si="33"/>
        <v>0</v>
      </c>
      <c r="C157" s="537">
        <f t="shared" si="34"/>
        <v>0</v>
      </c>
      <c r="D157" s="536">
        <f t="shared" si="35"/>
        <v>0</v>
      </c>
      <c r="E157" s="537">
        <f t="shared" si="36"/>
        <v>0</v>
      </c>
      <c r="F157" s="536">
        <f t="shared" si="37"/>
        <v>0</v>
      </c>
      <c r="G157" s="537">
        <f t="shared" si="38"/>
        <v>0</v>
      </c>
      <c r="H157" s="538"/>
      <c r="I157" s="538"/>
      <c r="J157" s="536">
        <f t="shared" si="39"/>
        <v>0</v>
      </c>
      <c r="K157" s="537">
        <f t="shared" si="40"/>
        <v>0</v>
      </c>
      <c r="L157" s="536">
        <f t="shared" si="41"/>
        <v>0</v>
      </c>
      <c r="M157" s="516">
        <f t="shared" si="42"/>
        <v>0</v>
      </c>
      <c r="O157" s="522"/>
      <c r="P157" s="568" t="s">
        <v>1274</v>
      </c>
      <c r="Q157" s="567">
        <v>0</v>
      </c>
      <c r="R157" s="567">
        <v>0</v>
      </c>
      <c r="S157" s="567">
        <v>0</v>
      </c>
      <c r="T157" s="567">
        <v>3621130</v>
      </c>
      <c r="U157" s="567">
        <v>0</v>
      </c>
      <c r="V157" s="567">
        <v>3621130</v>
      </c>
      <c r="W157" s="567">
        <v>187125</v>
      </c>
      <c r="X157" s="567">
        <v>0</v>
      </c>
      <c r="Y157" s="567">
        <v>187125</v>
      </c>
      <c r="Z157" s="566">
        <v>12024</v>
      </c>
      <c r="AA157" s="566">
        <v>0</v>
      </c>
      <c r="AB157" s="566">
        <v>12024</v>
      </c>
      <c r="AC157" s="567">
        <v>14903</v>
      </c>
      <c r="AD157" s="567">
        <v>0</v>
      </c>
      <c r="AE157" s="567">
        <v>14903</v>
      </c>
      <c r="AF157" s="567">
        <v>915154</v>
      </c>
      <c r="AG157" s="567">
        <v>0</v>
      </c>
      <c r="AH157" s="567">
        <v>915154</v>
      </c>
    </row>
    <row r="158" spans="1:34" ht="14">
      <c r="A158" s="518" t="s">
        <v>1275</v>
      </c>
      <c r="B158" s="536">
        <f t="shared" si="33"/>
        <v>0</v>
      </c>
      <c r="C158" s="537">
        <f t="shared" si="34"/>
        <v>0</v>
      </c>
      <c r="D158" s="536">
        <f t="shared" si="35"/>
        <v>0</v>
      </c>
      <c r="E158" s="537">
        <f t="shared" si="36"/>
        <v>0</v>
      </c>
      <c r="F158" s="536">
        <f t="shared" si="37"/>
        <v>0</v>
      </c>
      <c r="G158" s="537">
        <f t="shared" si="38"/>
        <v>0</v>
      </c>
      <c r="H158" s="538"/>
      <c r="I158" s="538"/>
      <c r="J158" s="536">
        <f t="shared" si="39"/>
        <v>0</v>
      </c>
      <c r="K158" s="537">
        <f t="shared" si="40"/>
        <v>0</v>
      </c>
      <c r="L158" s="536">
        <f t="shared" si="41"/>
        <v>0</v>
      </c>
      <c r="M158" s="516">
        <f t="shared" si="42"/>
        <v>0</v>
      </c>
      <c r="P158" s="568" t="s">
        <v>1275</v>
      </c>
      <c r="Q158" s="567">
        <v>0</v>
      </c>
      <c r="R158" s="567">
        <v>0</v>
      </c>
      <c r="S158" s="567">
        <v>0</v>
      </c>
      <c r="T158" s="567">
        <v>0</v>
      </c>
      <c r="U158" s="567">
        <v>0</v>
      </c>
      <c r="V158" s="567">
        <v>0</v>
      </c>
      <c r="W158" s="567">
        <v>0</v>
      </c>
      <c r="X158" s="567">
        <v>0</v>
      </c>
      <c r="Y158" s="567">
        <v>0</v>
      </c>
      <c r="Z158" s="566">
        <v>0</v>
      </c>
      <c r="AA158" s="566">
        <v>0</v>
      </c>
      <c r="AB158" s="566">
        <v>0</v>
      </c>
      <c r="AC158" s="567">
        <v>0</v>
      </c>
      <c r="AD158" s="567">
        <v>0</v>
      </c>
      <c r="AE158" s="567">
        <v>0</v>
      </c>
      <c r="AF158" s="567">
        <v>0</v>
      </c>
      <c r="AG158" s="567">
        <v>0</v>
      </c>
      <c r="AH158" s="567">
        <v>0</v>
      </c>
    </row>
    <row r="159" spans="1:34" ht="14">
      <c r="A159" s="99" t="s">
        <v>1276</v>
      </c>
      <c r="B159" s="536">
        <f t="shared" si="33"/>
        <v>0</v>
      </c>
      <c r="C159" s="537">
        <f t="shared" si="34"/>
        <v>0</v>
      </c>
      <c r="D159" s="536">
        <f t="shared" si="35"/>
        <v>0</v>
      </c>
      <c r="E159" s="537">
        <f t="shared" si="36"/>
        <v>0</v>
      </c>
      <c r="F159" s="536">
        <f t="shared" si="37"/>
        <v>0</v>
      </c>
      <c r="G159" s="537">
        <f t="shared" si="38"/>
        <v>0</v>
      </c>
      <c r="H159" s="538"/>
      <c r="I159" s="538"/>
      <c r="J159" s="536">
        <f t="shared" si="39"/>
        <v>0</v>
      </c>
      <c r="K159" s="537">
        <f t="shared" si="40"/>
        <v>0</v>
      </c>
      <c r="L159" s="536">
        <f t="shared" si="41"/>
        <v>0</v>
      </c>
      <c r="M159" s="516">
        <f t="shared" si="42"/>
        <v>0</v>
      </c>
      <c r="P159" s="99" t="s">
        <v>1276</v>
      </c>
      <c r="Q159" s="567">
        <v>0</v>
      </c>
      <c r="R159" s="567">
        <v>13</v>
      </c>
      <c r="S159" s="567">
        <v>13</v>
      </c>
      <c r="T159" s="567">
        <v>0</v>
      </c>
      <c r="U159" s="567">
        <v>68246</v>
      </c>
      <c r="V159" s="567">
        <v>68246</v>
      </c>
      <c r="W159" s="567">
        <v>0</v>
      </c>
      <c r="X159" s="567">
        <v>0</v>
      </c>
      <c r="Y159" s="567">
        <v>0</v>
      </c>
      <c r="Z159" s="566">
        <v>0</v>
      </c>
      <c r="AA159" s="566">
        <v>31355</v>
      </c>
      <c r="AB159" s="566">
        <v>31355</v>
      </c>
      <c r="AC159" s="567">
        <v>0</v>
      </c>
      <c r="AD159" s="567">
        <v>0</v>
      </c>
      <c r="AE159" s="567">
        <v>0</v>
      </c>
      <c r="AF159" s="567">
        <v>0</v>
      </c>
      <c r="AG159" s="567">
        <v>0</v>
      </c>
      <c r="AH159" s="567">
        <v>0</v>
      </c>
    </row>
    <row r="160" spans="1:34" ht="14">
      <c r="A160" s="518" t="s">
        <v>1277</v>
      </c>
      <c r="B160" s="536">
        <f t="shared" si="33"/>
        <v>0</v>
      </c>
      <c r="C160" s="537">
        <f t="shared" si="34"/>
        <v>0</v>
      </c>
      <c r="D160" s="536">
        <f t="shared" si="35"/>
        <v>0</v>
      </c>
      <c r="E160" s="537">
        <f t="shared" si="36"/>
        <v>0</v>
      </c>
      <c r="F160" s="536">
        <f t="shared" si="37"/>
        <v>1964564.5436366324</v>
      </c>
      <c r="G160" s="537">
        <f t="shared" si="38"/>
        <v>0</v>
      </c>
      <c r="H160" s="538"/>
      <c r="I160" s="538"/>
      <c r="J160" s="536">
        <f t="shared" si="39"/>
        <v>0</v>
      </c>
      <c r="K160" s="537">
        <f t="shared" si="40"/>
        <v>0</v>
      </c>
      <c r="L160" s="536">
        <f t="shared" si="41"/>
        <v>0</v>
      </c>
      <c r="M160" s="516">
        <f t="shared" si="42"/>
        <v>0</v>
      </c>
      <c r="O160" s="522"/>
      <c r="P160" s="568" t="s">
        <v>1277</v>
      </c>
      <c r="Q160" s="567">
        <v>0</v>
      </c>
      <c r="R160" s="567">
        <v>0</v>
      </c>
      <c r="S160" s="567">
        <v>0</v>
      </c>
      <c r="T160" s="567">
        <v>0</v>
      </c>
      <c r="U160" s="567">
        <v>0</v>
      </c>
      <c r="V160" s="567">
        <v>0</v>
      </c>
      <c r="W160" s="567">
        <v>100719</v>
      </c>
      <c r="X160" s="567">
        <v>0</v>
      </c>
      <c r="Y160" s="567">
        <v>100719</v>
      </c>
      <c r="Z160" s="566">
        <v>0</v>
      </c>
      <c r="AA160" s="566">
        <v>0</v>
      </c>
      <c r="AB160" s="566">
        <v>0</v>
      </c>
      <c r="AC160" s="567">
        <v>0</v>
      </c>
      <c r="AD160" s="567">
        <v>0</v>
      </c>
      <c r="AE160" s="567">
        <v>0</v>
      </c>
      <c r="AF160" s="567">
        <v>0</v>
      </c>
      <c r="AG160" s="567">
        <v>0</v>
      </c>
      <c r="AH160" s="567">
        <v>0</v>
      </c>
    </row>
    <row r="161" spans="1:36" ht="14">
      <c r="A161" s="518" t="s">
        <v>1278</v>
      </c>
      <c r="B161" s="536">
        <f t="shared" si="33"/>
        <v>0</v>
      </c>
      <c r="C161" s="537">
        <f t="shared" si="34"/>
        <v>0</v>
      </c>
      <c r="D161" s="536">
        <f t="shared" si="35"/>
        <v>0</v>
      </c>
      <c r="E161" s="537">
        <f t="shared" si="36"/>
        <v>0</v>
      </c>
      <c r="F161" s="536">
        <f t="shared" si="37"/>
        <v>0</v>
      </c>
      <c r="G161" s="537">
        <f t="shared" si="38"/>
        <v>0</v>
      </c>
      <c r="H161" s="538"/>
      <c r="I161" s="538"/>
      <c r="J161" s="536">
        <f t="shared" si="39"/>
        <v>0</v>
      </c>
      <c r="K161" s="537">
        <f t="shared" si="40"/>
        <v>0</v>
      </c>
      <c r="L161" s="536">
        <f t="shared" si="41"/>
        <v>0</v>
      </c>
      <c r="M161" s="516">
        <f t="shared" si="42"/>
        <v>0</v>
      </c>
      <c r="P161" s="568" t="s">
        <v>1278</v>
      </c>
      <c r="Q161" s="567">
        <v>101175</v>
      </c>
      <c r="R161" s="567">
        <v>0</v>
      </c>
      <c r="S161" s="567">
        <v>101175</v>
      </c>
      <c r="T161" s="567">
        <v>246741</v>
      </c>
      <c r="U161" s="567">
        <v>8</v>
      </c>
      <c r="V161" s="567">
        <v>246749</v>
      </c>
      <c r="W161" s="567">
        <v>0</v>
      </c>
      <c r="X161" s="567">
        <v>0</v>
      </c>
      <c r="Y161" s="567">
        <v>0</v>
      </c>
      <c r="Z161" s="566">
        <v>159650</v>
      </c>
      <c r="AA161" s="566">
        <v>17</v>
      </c>
      <c r="AB161" s="566">
        <v>159667</v>
      </c>
      <c r="AC161" s="567">
        <v>0</v>
      </c>
      <c r="AD161" s="567">
        <v>0</v>
      </c>
      <c r="AE161" s="567">
        <v>0</v>
      </c>
      <c r="AF161" s="567">
        <v>0</v>
      </c>
      <c r="AG161" s="567">
        <v>0</v>
      </c>
      <c r="AH161" s="567">
        <v>0</v>
      </c>
    </row>
    <row r="162" spans="1:36" ht="14">
      <c r="A162" s="530" t="s">
        <v>1279</v>
      </c>
      <c r="B162" s="536">
        <f t="shared" si="33"/>
        <v>1783689.7661223826</v>
      </c>
      <c r="C162" s="537">
        <f t="shared" si="34"/>
        <v>0</v>
      </c>
      <c r="D162" s="536">
        <f t="shared" si="35"/>
        <v>0</v>
      </c>
      <c r="E162" s="537">
        <f t="shared" si="36"/>
        <v>0</v>
      </c>
      <c r="F162" s="536">
        <f t="shared" si="37"/>
        <v>0</v>
      </c>
      <c r="G162" s="537">
        <f t="shared" si="38"/>
        <v>0</v>
      </c>
      <c r="H162" s="538"/>
      <c r="I162" s="538"/>
      <c r="J162" s="536">
        <f t="shared" si="39"/>
        <v>0</v>
      </c>
      <c r="K162" s="537">
        <f t="shared" si="40"/>
        <v>0</v>
      </c>
      <c r="L162" s="536">
        <f t="shared" si="41"/>
        <v>0</v>
      </c>
      <c r="M162" s="516">
        <f t="shared" si="42"/>
        <v>0</v>
      </c>
      <c r="P162" s="568" t="s">
        <v>1279</v>
      </c>
      <c r="Q162" s="567">
        <v>126791</v>
      </c>
      <c r="R162" s="567">
        <v>0</v>
      </c>
      <c r="S162" s="567">
        <v>126791</v>
      </c>
      <c r="T162" s="567">
        <v>0</v>
      </c>
      <c r="U162" s="567">
        <v>0</v>
      </c>
      <c r="V162" s="567">
        <v>0</v>
      </c>
      <c r="W162" s="567">
        <v>0</v>
      </c>
      <c r="X162" s="567">
        <v>0</v>
      </c>
      <c r="Y162" s="567">
        <v>0</v>
      </c>
      <c r="Z162" s="566">
        <v>3914</v>
      </c>
      <c r="AA162" s="566">
        <v>0</v>
      </c>
      <c r="AB162" s="566">
        <v>3914</v>
      </c>
      <c r="AC162" s="567">
        <v>0</v>
      </c>
      <c r="AD162" s="567">
        <v>0</v>
      </c>
      <c r="AE162" s="567">
        <v>0</v>
      </c>
      <c r="AF162" s="567">
        <v>0</v>
      </c>
      <c r="AG162" s="567">
        <v>0</v>
      </c>
      <c r="AH162" s="567">
        <v>0</v>
      </c>
    </row>
    <row r="163" spans="1:36" ht="14">
      <c r="A163" s="523"/>
      <c r="B163" s="539"/>
      <c r="C163" s="539"/>
      <c r="D163" s="539"/>
      <c r="E163" s="539"/>
      <c r="F163" s="539"/>
      <c r="G163" s="539"/>
      <c r="H163" s="538"/>
      <c r="I163" s="538"/>
      <c r="J163" s="539"/>
      <c r="K163" s="539"/>
      <c r="L163" s="539"/>
      <c r="M163" s="524"/>
      <c r="P163" s="569" t="s">
        <v>190</v>
      </c>
      <c r="Q163" s="570">
        <v>737486</v>
      </c>
      <c r="R163" s="570">
        <v>30449</v>
      </c>
      <c r="S163" s="570">
        <v>767935</v>
      </c>
      <c r="T163" s="570">
        <v>4236883</v>
      </c>
      <c r="U163" s="570">
        <v>130255</v>
      </c>
      <c r="V163" s="570">
        <v>4367138</v>
      </c>
      <c r="W163" s="570">
        <v>433065</v>
      </c>
      <c r="X163" s="570">
        <v>23999</v>
      </c>
      <c r="Y163" s="570">
        <v>457064</v>
      </c>
      <c r="Z163" s="570">
        <v>702232</v>
      </c>
      <c r="AA163" s="570">
        <v>55624</v>
      </c>
      <c r="AB163" s="570">
        <v>757856</v>
      </c>
      <c r="AC163" s="570">
        <v>55635</v>
      </c>
      <c r="AD163" s="570">
        <v>0</v>
      </c>
      <c r="AE163" s="570">
        <v>55635</v>
      </c>
      <c r="AF163" s="570">
        <v>925192</v>
      </c>
      <c r="AG163" s="570">
        <v>36000</v>
      </c>
      <c r="AH163" s="570">
        <v>961192</v>
      </c>
      <c r="AI163" s="97">
        <f>S163+V163+Y163+AB163+AE163+AH163</f>
        <v>7366820</v>
      </c>
      <c r="AJ163" s="522"/>
    </row>
    <row r="164" spans="1:36">
      <c r="T164" s="522"/>
      <c r="V164" s="522"/>
    </row>
    <row r="165" spans="1:36" ht="14.5" thickBot="1">
      <c r="A165" s="526"/>
      <c r="B165" s="526"/>
      <c r="C165" s="45"/>
      <c r="D165" s="45"/>
      <c r="E165" s="45"/>
      <c r="I165" s="45"/>
      <c r="J165" s="45"/>
    </row>
    <row r="166" spans="1:36" ht="13" thickBot="1">
      <c r="A166" s="838" t="s">
        <v>1349</v>
      </c>
      <c r="B166" s="812"/>
      <c r="C166" s="812"/>
      <c r="D166" s="812"/>
      <c r="E166" s="812"/>
      <c r="F166" s="812"/>
      <c r="G166" s="812"/>
      <c r="H166" s="812"/>
      <c r="I166" s="812"/>
      <c r="J166" s="812"/>
      <c r="K166" s="812"/>
      <c r="L166" s="812"/>
      <c r="M166" s="813"/>
      <c r="N166" s="96"/>
      <c r="P166" s="805" t="s">
        <v>1350</v>
      </c>
      <c r="Q166" s="816" t="s">
        <v>1349</v>
      </c>
      <c r="R166" s="817"/>
      <c r="S166" s="817"/>
      <c r="T166" s="817"/>
      <c r="U166" s="817"/>
      <c r="V166" s="817"/>
      <c r="W166" s="817"/>
      <c r="X166" s="817"/>
      <c r="Y166" s="817"/>
      <c r="Z166" s="817"/>
      <c r="AA166" s="817"/>
      <c r="AB166" s="817"/>
      <c r="AC166" s="817"/>
      <c r="AD166" s="817"/>
      <c r="AE166" s="819"/>
      <c r="AF166" s="819"/>
      <c r="AG166" s="819"/>
      <c r="AH166" s="820"/>
    </row>
    <row r="167" spans="1:36" ht="42" customHeight="1" thickBot="1">
      <c r="A167" s="814" t="s">
        <v>1293</v>
      </c>
      <c r="B167" s="809" t="s">
        <v>1298</v>
      </c>
      <c r="C167" s="807" t="s">
        <v>1299</v>
      </c>
      <c r="D167" s="809" t="s">
        <v>1351</v>
      </c>
      <c r="E167" s="807" t="s">
        <v>1352</v>
      </c>
      <c r="F167" s="809" t="s">
        <v>1353</v>
      </c>
      <c r="G167" s="807" t="s">
        <v>1354</v>
      </c>
      <c r="H167" s="809" t="s">
        <v>1355</v>
      </c>
      <c r="I167" s="807" t="s">
        <v>1356</v>
      </c>
      <c r="J167" s="809" t="s">
        <v>1357</v>
      </c>
      <c r="K167" s="807" t="s">
        <v>1358</v>
      </c>
      <c r="L167" s="809" t="s">
        <v>1357</v>
      </c>
      <c r="M167" s="807" t="s">
        <v>1358</v>
      </c>
      <c r="P167" s="831" t="s">
        <v>1297</v>
      </c>
      <c r="Q167" s="816" t="s">
        <v>226</v>
      </c>
      <c r="R167" s="817"/>
      <c r="S167" s="818"/>
      <c r="T167" s="816" t="s">
        <v>206</v>
      </c>
      <c r="U167" s="817"/>
      <c r="V167" s="818"/>
      <c r="W167" s="816" t="s">
        <v>222</v>
      </c>
      <c r="X167" s="817"/>
      <c r="Y167" s="818"/>
      <c r="Z167" s="816" t="s">
        <v>223</v>
      </c>
      <c r="AA167" s="817"/>
      <c r="AB167" s="818"/>
      <c r="AC167" s="821" t="s">
        <v>225</v>
      </c>
      <c r="AD167" s="822"/>
      <c r="AE167" s="823"/>
      <c r="AF167" s="817" t="s">
        <v>224</v>
      </c>
      <c r="AG167" s="817"/>
      <c r="AH167" s="818"/>
    </row>
    <row r="168" spans="1:36" ht="13" thickBot="1">
      <c r="A168" s="815"/>
      <c r="B168" s="810"/>
      <c r="C168" s="808"/>
      <c r="D168" s="810"/>
      <c r="E168" s="808"/>
      <c r="F168" s="810" t="s">
        <v>1294</v>
      </c>
      <c r="G168" s="808" t="s">
        <v>1294</v>
      </c>
      <c r="H168" s="810" t="s">
        <v>1294</v>
      </c>
      <c r="I168" s="808" t="s">
        <v>1294</v>
      </c>
      <c r="J168" s="810" t="s">
        <v>1294</v>
      </c>
      <c r="K168" s="808" t="s">
        <v>1294</v>
      </c>
      <c r="L168" s="810" t="s">
        <v>1294</v>
      </c>
      <c r="M168" s="808" t="s">
        <v>1294</v>
      </c>
      <c r="P168" s="806">
        <v>7160324</v>
      </c>
      <c r="Q168" s="154" t="s">
        <v>1294</v>
      </c>
      <c r="R168" s="48" t="s">
        <v>1295</v>
      </c>
      <c r="S168" s="48" t="s">
        <v>1296</v>
      </c>
      <c r="T168" s="154" t="s">
        <v>1294</v>
      </c>
      <c r="U168" s="48" t="s">
        <v>1295</v>
      </c>
      <c r="V168" s="48" t="s">
        <v>1296</v>
      </c>
      <c r="W168" s="154" t="s">
        <v>1294</v>
      </c>
      <c r="X168" s="48" t="s">
        <v>1295</v>
      </c>
      <c r="Y168" s="48" t="s">
        <v>1296</v>
      </c>
      <c r="Z168" s="154" t="s">
        <v>1294</v>
      </c>
      <c r="AA168" s="48" t="s">
        <v>1295</v>
      </c>
      <c r="AB168" s="48" t="s">
        <v>1296</v>
      </c>
      <c r="AC168" s="563" t="s">
        <v>1294</v>
      </c>
      <c r="AD168" s="564" t="s">
        <v>1295</v>
      </c>
      <c r="AE168" s="564" t="s">
        <v>1296</v>
      </c>
      <c r="AF168" s="525" t="s">
        <v>1294</v>
      </c>
      <c r="AG168" s="48" t="s">
        <v>1295</v>
      </c>
      <c r="AH168" s="48" t="s">
        <v>1296</v>
      </c>
    </row>
    <row r="169" spans="1:36" ht="14.5">
      <c r="A169" s="98" t="s">
        <v>2285</v>
      </c>
      <c r="B169" s="536">
        <f t="shared" ref="B169:B187" si="43">Q169*$F36</f>
        <v>0</v>
      </c>
      <c r="C169" s="537">
        <f t="shared" ref="C169:C187" si="44">R169*$F36</f>
        <v>0</v>
      </c>
      <c r="D169" s="536">
        <f t="shared" ref="D169:D187" si="45">T169*$F36</f>
        <v>0</v>
      </c>
      <c r="E169" s="537">
        <f t="shared" ref="E169:E187" si="46">U169*$F36</f>
        <v>0</v>
      </c>
      <c r="F169" s="536">
        <f t="shared" ref="F169:F187" si="47">W169*$F36</f>
        <v>0</v>
      </c>
      <c r="G169" s="537">
        <f t="shared" ref="G169:G187" si="48">X169*$F36</f>
        <v>0</v>
      </c>
      <c r="H169" s="536">
        <f t="shared" ref="H169:H187" si="49">Z169*$F36</f>
        <v>0</v>
      </c>
      <c r="I169" s="537">
        <f t="shared" ref="I169:I187" si="50">AA169*$F36</f>
        <v>0</v>
      </c>
      <c r="J169" s="538"/>
      <c r="K169" s="538"/>
      <c r="L169" s="536">
        <f t="shared" ref="L169:L187" si="51">AF169*$F36</f>
        <v>0</v>
      </c>
      <c r="M169" s="516">
        <f t="shared" ref="M169:M187" si="52">AG169*$F36</f>
        <v>0</v>
      </c>
      <c r="P169" s="99" t="s">
        <v>2285</v>
      </c>
      <c r="Q169" s="695">
        <v>0</v>
      </c>
      <c r="R169" s="696">
        <v>0</v>
      </c>
      <c r="S169" s="697">
        <v>0</v>
      </c>
      <c r="T169" s="695">
        <v>0</v>
      </c>
      <c r="U169" s="696">
        <v>0</v>
      </c>
      <c r="V169" s="697">
        <v>0</v>
      </c>
      <c r="W169" s="695">
        <v>0</v>
      </c>
      <c r="X169" s="696">
        <v>0</v>
      </c>
      <c r="Y169" s="697">
        <v>0</v>
      </c>
      <c r="Z169" s="695">
        <v>0</v>
      </c>
      <c r="AA169" s="696">
        <v>0</v>
      </c>
      <c r="AB169" s="697">
        <v>0</v>
      </c>
      <c r="AC169" s="695">
        <v>3145</v>
      </c>
      <c r="AD169" s="696">
        <v>0</v>
      </c>
      <c r="AE169" s="697">
        <v>3145</v>
      </c>
      <c r="AF169" s="695">
        <v>0</v>
      </c>
      <c r="AG169" s="696">
        <v>0</v>
      </c>
      <c r="AH169" s="697">
        <v>0</v>
      </c>
    </row>
    <row r="170" spans="1:36" ht="14.5">
      <c r="A170" s="518" t="s">
        <v>1262</v>
      </c>
      <c r="B170" s="536">
        <f t="shared" si="43"/>
        <v>0</v>
      </c>
      <c r="C170" s="537">
        <f t="shared" si="44"/>
        <v>0</v>
      </c>
      <c r="D170" s="536">
        <f t="shared" si="45"/>
        <v>0</v>
      </c>
      <c r="E170" s="537">
        <f t="shared" si="46"/>
        <v>0</v>
      </c>
      <c r="F170" s="536">
        <f t="shared" si="47"/>
        <v>0</v>
      </c>
      <c r="G170" s="537">
        <f t="shared" si="48"/>
        <v>0</v>
      </c>
      <c r="H170" s="536">
        <f t="shared" si="49"/>
        <v>0</v>
      </c>
      <c r="I170" s="537">
        <f t="shared" si="50"/>
        <v>0</v>
      </c>
      <c r="J170" s="538"/>
      <c r="K170" s="538"/>
      <c r="L170" s="536">
        <f t="shared" si="51"/>
        <v>0</v>
      </c>
      <c r="M170" s="516">
        <f t="shared" si="52"/>
        <v>0</v>
      </c>
      <c r="P170" s="568" t="s">
        <v>1262</v>
      </c>
      <c r="Q170" s="698">
        <v>0</v>
      </c>
      <c r="R170" s="699">
        <v>0</v>
      </c>
      <c r="S170" s="700">
        <v>0</v>
      </c>
      <c r="T170" s="698">
        <v>0</v>
      </c>
      <c r="U170" s="699">
        <v>0</v>
      </c>
      <c r="V170" s="700">
        <v>0</v>
      </c>
      <c r="W170" s="698">
        <v>0</v>
      </c>
      <c r="X170" s="699">
        <v>0</v>
      </c>
      <c r="Y170" s="700">
        <v>0</v>
      </c>
      <c r="Z170" s="698">
        <v>0</v>
      </c>
      <c r="AA170" s="699">
        <v>0</v>
      </c>
      <c r="AB170" s="700">
        <v>0</v>
      </c>
      <c r="AC170" s="698">
        <v>0</v>
      </c>
      <c r="AD170" s="699">
        <v>0</v>
      </c>
      <c r="AE170" s="700">
        <v>0</v>
      </c>
      <c r="AF170" s="698">
        <v>0</v>
      </c>
      <c r="AG170" s="699">
        <v>0</v>
      </c>
      <c r="AH170" s="700">
        <v>0</v>
      </c>
    </row>
    <row r="171" spans="1:36" ht="14.5">
      <c r="A171" s="518" t="s">
        <v>1263</v>
      </c>
      <c r="B171" s="536">
        <f t="shared" si="43"/>
        <v>0</v>
      </c>
      <c r="C171" s="537">
        <f t="shared" si="44"/>
        <v>0</v>
      </c>
      <c r="D171" s="536">
        <f t="shared" si="45"/>
        <v>0</v>
      </c>
      <c r="E171" s="537">
        <f t="shared" si="46"/>
        <v>0</v>
      </c>
      <c r="F171" s="536">
        <f t="shared" si="47"/>
        <v>0</v>
      </c>
      <c r="G171" s="537">
        <f t="shared" si="48"/>
        <v>0</v>
      </c>
      <c r="H171" s="536">
        <f t="shared" si="49"/>
        <v>0</v>
      </c>
      <c r="I171" s="537">
        <f t="shared" si="50"/>
        <v>0</v>
      </c>
      <c r="J171" s="538"/>
      <c r="K171" s="538"/>
      <c r="L171" s="536">
        <f t="shared" si="51"/>
        <v>0</v>
      </c>
      <c r="M171" s="516">
        <f t="shared" si="52"/>
        <v>0</v>
      </c>
      <c r="P171" s="568" t="s">
        <v>1263</v>
      </c>
      <c r="Q171" s="698">
        <v>0</v>
      </c>
      <c r="R171" s="699">
        <v>0</v>
      </c>
      <c r="S171" s="700">
        <v>0</v>
      </c>
      <c r="T171" s="698">
        <v>0</v>
      </c>
      <c r="U171" s="699">
        <v>0</v>
      </c>
      <c r="V171" s="700">
        <v>0</v>
      </c>
      <c r="W171" s="698">
        <v>0</v>
      </c>
      <c r="X171" s="699">
        <v>0</v>
      </c>
      <c r="Y171" s="700">
        <v>0</v>
      </c>
      <c r="Z171" s="698">
        <v>0</v>
      </c>
      <c r="AA171" s="699">
        <v>0</v>
      </c>
      <c r="AB171" s="700">
        <v>0</v>
      </c>
      <c r="AC171" s="698">
        <v>0</v>
      </c>
      <c r="AD171" s="699">
        <v>0</v>
      </c>
      <c r="AE171" s="700">
        <v>0</v>
      </c>
      <c r="AF171" s="698">
        <v>0</v>
      </c>
      <c r="AG171" s="699">
        <v>0</v>
      </c>
      <c r="AH171" s="700">
        <v>0</v>
      </c>
    </row>
    <row r="172" spans="1:36" ht="14.5">
      <c r="A172" s="518" t="s">
        <v>1264</v>
      </c>
      <c r="B172" s="536">
        <f t="shared" si="43"/>
        <v>0</v>
      </c>
      <c r="C172" s="537">
        <f t="shared" si="44"/>
        <v>0</v>
      </c>
      <c r="D172" s="536">
        <f t="shared" si="45"/>
        <v>0</v>
      </c>
      <c r="E172" s="537">
        <f t="shared" si="46"/>
        <v>0</v>
      </c>
      <c r="F172" s="536">
        <f t="shared" si="47"/>
        <v>0</v>
      </c>
      <c r="G172" s="537">
        <f t="shared" si="48"/>
        <v>0</v>
      </c>
      <c r="H172" s="536">
        <f t="shared" si="49"/>
        <v>0</v>
      </c>
      <c r="I172" s="537">
        <f t="shared" si="50"/>
        <v>0</v>
      </c>
      <c r="J172" s="538"/>
      <c r="K172" s="538"/>
      <c r="L172" s="536">
        <f t="shared" si="51"/>
        <v>0</v>
      </c>
      <c r="M172" s="516">
        <f t="shared" si="52"/>
        <v>0</v>
      </c>
      <c r="P172" s="568" t="s">
        <v>1264</v>
      </c>
      <c r="Q172" s="698">
        <v>0</v>
      </c>
      <c r="R172" s="699">
        <v>0</v>
      </c>
      <c r="S172" s="700">
        <v>0</v>
      </c>
      <c r="T172" s="698">
        <v>0</v>
      </c>
      <c r="U172" s="699">
        <v>0</v>
      </c>
      <c r="V172" s="700">
        <v>0</v>
      </c>
      <c r="W172" s="698">
        <v>0</v>
      </c>
      <c r="X172" s="699">
        <v>0</v>
      </c>
      <c r="Y172" s="700">
        <v>0</v>
      </c>
      <c r="Z172" s="698">
        <v>0</v>
      </c>
      <c r="AA172" s="699">
        <v>0</v>
      </c>
      <c r="AB172" s="700">
        <v>0</v>
      </c>
      <c r="AC172" s="698">
        <v>0</v>
      </c>
      <c r="AD172" s="699">
        <v>0</v>
      </c>
      <c r="AE172" s="700">
        <v>0</v>
      </c>
      <c r="AF172" s="698">
        <v>0</v>
      </c>
      <c r="AG172" s="699">
        <v>0</v>
      </c>
      <c r="AH172" s="700">
        <v>0</v>
      </c>
    </row>
    <row r="173" spans="1:36" ht="14.5">
      <c r="A173" s="518" t="s">
        <v>1265</v>
      </c>
      <c r="B173" s="536">
        <f t="shared" si="43"/>
        <v>0</v>
      </c>
      <c r="C173" s="537">
        <f t="shared" si="44"/>
        <v>9.8510571863382115</v>
      </c>
      <c r="D173" s="536">
        <f t="shared" si="45"/>
        <v>0</v>
      </c>
      <c r="E173" s="537">
        <f t="shared" si="46"/>
        <v>187.17008654042601</v>
      </c>
      <c r="F173" s="536">
        <f t="shared" si="47"/>
        <v>0</v>
      </c>
      <c r="G173" s="537">
        <f t="shared" si="48"/>
        <v>0</v>
      </c>
      <c r="H173" s="536">
        <f t="shared" si="49"/>
        <v>0</v>
      </c>
      <c r="I173" s="537">
        <f t="shared" si="50"/>
        <v>0</v>
      </c>
      <c r="J173" s="538"/>
      <c r="K173" s="538"/>
      <c r="L173" s="536">
        <f t="shared" si="51"/>
        <v>0</v>
      </c>
      <c r="M173" s="516">
        <f t="shared" si="52"/>
        <v>0</v>
      </c>
      <c r="P173" s="568" t="s">
        <v>1265</v>
      </c>
      <c r="Q173" s="698">
        <v>0</v>
      </c>
      <c r="R173" s="699">
        <v>1</v>
      </c>
      <c r="S173" s="700">
        <v>1</v>
      </c>
      <c r="T173" s="698">
        <v>0</v>
      </c>
      <c r="U173" s="699">
        <v>19</v>
      </c>
      <c r="V173" s="700">
        <v>19</v>
      </c>
      <c r="W173" s="698">
        <v>0</v>
      </c>
      <c r="X173" s="699">
        <v>0</v>
      </c>
      <c r="Y173" s="700">
        <v>0</v>
      </c>
      <c r="Z173" s="698">
        <v>0</v>
      </c>
      <c r="AA173" s="699">
        <v>0</v>
      </c>
      <c r="AB173" s="700">
        <v>0</v>
      </c>
      <c r="AC173" s="698">
        <v>0</v>
      </c>
      <c r="AD173" s="699">
        <v>0</v>
      </c>
      <c r="AE173" s="700">
        <v>0</v>
      </c>
      <c r="AF173" s="698">
        <v>0</v>
      </c>
      <c r="AG173" s="699">
        <v>0</v>
      </c>
      <c r="AH173" s="700">
        <v>0</v>
      </c>
    </row>
    <row r="174" spans="1:36" ht="14.5">
      <c r="A174" s="518" t="s">
        <v>1266</v>
      </c>
      <c r="B174" s="536">
        <f t="shared" si="43"/>
        <v>0</v>
      </c>
      <c r="C174" s="537">
        <f t="shared" si="44"/>
        <v>0</v>
      </c>
      <c r="D174" s="536">
        <f t="shared" si="45"/>
        <v>0</v>
      </c>
      <c r="E174" s="537">
        <f t="shared" si="46"/>
        <v>0</v>
      </c>
      <c r="F174" s="536">
        <f t="shared" si="47"/>
        <v>0</v>
      </c>
      <c r="G174" s="537">
        <f t="shared" si="48"/>
        <v>0</v>
      </c>
      <c r="H174" s="536">
        <f t="shared" si="49"/>
        <v>0</v>
      </c>
      <c r="I174" s="537">
        <f t="shared" si="50"/>
        <v>0</v>
      </c>
      <c r="J174" s="538"/>
      <c r="K174" s="538"/>
      <c r="L174" s="536">
        <f t="shared" si="51"/>
        <v>0</v>
      </c>
      <c r="M174" s="516">
        <f t="shared" si="52"/>
        <v>0</v>
      </c>
      <c r="P174" s="568" t="s">
        <v>1266</v>
      </c>
      <c r="Q174" s="698">
        <v>0</v>
      </c>
      <c r="R174" s="699">
        <v>0</v>
      </c>
      <c r="S174" s="700">
        <v>0</v>
      </c>
      <c r="T174" s="698">
        <v>0</v>
      </c>
      <c r="U174" s="699">
        <v>0</v>
      </c>
      <c r="V174" s="700">
        <v>0</v>
      </c>
      <c r="W174" s="698">
        <v>0</v>
      </c>
      <c r="X174" s="699">
        <v>0</v>
      </c>
      <c r="Y174" s="700">
        <v>0</v>
      </c>
      <c r="Z174" s="698">
        <v>0</v>
      </c>
      <c r="AA174" s="699">
        <v>0</v>
      </c>
      <c r="AB174" s="700">
        <v>0</v>
      </c>
      <c r="AC174" s="698">
        <v>0</v>
      </c>
      <c r="AD174" s="699">
        <v>0</v>
      </c>
      <c r="AE174" s="700">
        <v>0</v>
      </c>
      <c r="AF174" s="698">
        <v>0</v>
      </c>
      <c r="AG174" s="699">
        <v>0</v>
      </c>
      <c r="AH174" s="700">
        <v>0</v>
      </c>
    </row>
    <row r="175" spans="1:36" ht="14.5">
      <c r="A175" s="518" t="s">
        <v>1267</v>
      </c>
      <c r="B175" s="536">
        <f t="shared" si="43"/>
        <v>0</v>
      </c>
      <c r="C175" s="537">
        <f t="shared" si="44"/>
        <v>0</v>
      </c>
      <c r="D175" s="536">
        <f t="shared" si="45"/>
        <v>0</v>
      </c>
      <c r="E175" s="537">
        <f t="shared" si="46"/>
        <v>0</v>
      </c>
      <c r="F175" s="536">
        <f t="shared" si="47"/>
        <v>0</v>
      </c>
      <c r="G175" s="537">
        <f t="shared" si="48"/>
        <v>0</v>
      </c>
      <c r="H175" s="536">
        <f t="shared" si="49"/>
        <v>0</v>
      </c>
      <c r="I175" s="537">
        <f t="shared" si="50"/>
        <v>0</v>
      </c>
      <c r="J175" s="538"/>
      <c r="K175" s="538"/>
      <c r="L175" s="536">
        <f t="shared" si="51"/>
        <v>0</v>
      </c>
      <c r="M175" s="516">
        <f t="shared" si="52"/>
        <v>0</v>
      </c>
      <c r="P175" s="568" t="s">
        <v>1267</v>
      </c>
      <c r="Q175" s="698">
        <v>0</v>
      </c>
      <c r="R175" s="699">
        <v>0</v>
      </c>
      <c r="S175" s="700">
        <v>0</v>
      </c>
      <c r="T175" s="698">
        <v>0</v>
      </c>
      <c r="U175" s="699">
        <v>0</v>
      </c>
      <c r="V175" s="700">
        <v>0</v>
      </c>
      <c r="W175" s="698">
        <v>0</v>
      </c>
      <c r="X175" s="699">
        <v>0</v>
      </c>
      <c r="Y175" s="700">
        <v>0</v>
      </c>
      <c r="Z175" s="698">
        <v>0</v>
      </c>
      <c r="AA175" s="699">
        <v>0</v>
      </c>
      <c r="AB175" s="700">
        <v>0</v>
      </c>
      <c r="AC175" s="698">
        <v>0</v>
      </c>
      <c r="AD175" s="699">
        <v>0</v>
      </c>
      <c r="AE175" s="700">
        <v>0</v>
      </c>
      <c r="AF175" s="698">
        <v>0</v>
      </c>
      <c r="AG175" s="699">
        <v>0</v>
      </c>
      <c r="AH175" s="700">
        <v>0</v>
      </c>
    </row>
    <row r="176" spans="1:36" ht="14.5">
      <c r="A176" s="520" t="s">
        <v>1268</v>
      </c>
      <c r="B176" s="536">
        <f t="shared" si="43"/>
        <v>0</v>
      </c>
      <c r="C176" s="537">
        <f t="shared" si="44"/>
        <v>0</v>
      </c>
      <c r="D176" s="536">
        <f t="shared" si="45"/>
        <v>0</v>
      </c>
      <c r="E176" s="537">
        <f t="shared" si="46"/>
        <v>0</v>
      </c>
      <c r="F176" s="536">
        <f t="shared" si="47"/>
        <v>0</v>
      </c>
      <c r="G176" s="537">
        <f t="shared" si="48"/>
        <v>0</v>
      </c>
      <c r="H176" s="536">
        <f t="shared" si="49"/>
        <v>0</v>
      </c>
      <c r="I176" s="537">
        <f t="shared" si="50"/>
        <v>0</v>
      </c>
      <c r="J176" s="538"/>
      <c r="K176" s="538"/>
      <c r="L176" s="536">
        <f t="shared" si="51"/>
        <v>0</v>
      </c>
      <c r="M176" s="516">
        <f t="shared" si="52"/>
        <v>0</v>
      </c>
      <c r="P176" s="99" t="s">
        <v>1268</v>
      </c>
      <c r="Q176" s="698">
        <v>2348</v>
      </c>
      <c r="R176" s="699">
        <v>0</v>
      </c>
      <c r="S176" s="700">
        <v>2348</v>
      </c>
      <c r="T176" s="698">
        <v>6116</v>
      </c>
      <c r="U176" s="699">
        <v>0</v>
      </c>
      <c r="V176" s="700">
        <v>6116</v>
      </c>
      <c r="W176" s="698">
        <v>4153</v>
      </c>
      <c r="X176" s="699">
        <v>0</v>
      </c>
      <c r="Y176" s="700">
        <v>4153</v>
      </c>
      <c r="Z176" s="698">
        <v>0</v>
      </c>
      <c r="AA176" s="699">
        <v>0</v>
      </c>
      <c r="AB176" s="700">
        <v>0</v>
      </c>
      <c r="AC176" s="698">
        <v>824</v>
      </c>
      <c r="AD176" s="699">
        <v>0</v>
      </c>
      <c r="AE176" s="700">
        <v>824</v>
      </c>
      <c r="AF176" s="698">
        <v>0</v>
      </c>
      <c r="AG176" s="699">
        <v>0</v>
      </c>
      <c r="AH176" s="700">
        <v>0</v>
      </c>
    </row>
    <row r="177" spans="1:36" ht="14.5">
      <c r="A177" s="520" t="s">
        <v>1269</v>
      </c>
      <c r="B177" s="536">
        <f t="shared" si="43"/>
        <v>0</v>
      </c>
      <c r="C177" s="537">
        <f t="shared" si="44"/>
        <v>0</v>
      </c>
      <c r="D177" s="536">
        <f t="shared" si="45"/>
        <v>0</v>
      </c>
      <c r="E177" s="537">
        <f t="shared" si="46"/>
        <v>0</v>
      </c>
      <c r="F177" s="536">
        <f t="shared" si="47"/>
        <v>0</v>
      </c>
      <c r="G177" s="537">
        <f t="shared" si="48"/>
        <v>0</v>
      </c>
      <c r="H177" s="536">
        <f t="shared" si="49"/>
        <v>0</v>
      </c>
      <c r="I177" s="537">
        <f t="shared" si="50"/>
        <v>0</v>
      </c>
      <c r="J177" s="538"/>
      <c r="K177" s="538"/>
      <c r="L177" s="536">
        <f t="shared" si="51"/>
        <v>0</v>
      </c>
      <c r="M177" s="516">
        <f t="shared" si="52"/>
        <v>0</v>
      </c>
      <c r="P177" s="99" t="s">
        <v>1269</v>
      </c>
      <c r="Q177" s="698">
        <v>0</v>
      </c>
      <c r="R177" s="699">
        <v>0</v>
      </c>
      <c r="S177" s="700">
        <v>0</v>
      </c>
      <c r="T177" s="698">
        <v>0</v>
      </c>
      <c r="U177" s="699">
        <v>0</v>
      </c>
      <c r="V177" s="700">
        <v>0</v>
      </c>
      <c r="W177" s="698">
        <v>0</v>
      </c>
      <c r="X177" s="699">
        <v>0</v>
      </c>
      <c r="Y177" s="700">
        <v>0</v>
      </c>
      <c r="Z177" s="698">
        <v>0</v>
      </c>
      <c r="AA177" s="699">
        <v>0</v>
      </c>
      <c r="AB177" s="700">
        <v>0</v>
      </c>
      <c r="AC177" s="698">
        <v>0</v>
      </c>
      <c r="AD177" s="699">
        <v>0</v>
      </c>
      <c r="AE177" s="700">
        <v>0</v>
      </c>
      <c r="AF177" s="698">
        <v>0</v>
      </c>
      <c r="AG177" s="699">
        <v>0</v>
      </c>
      <c r="AH177" s="700">
        <v>0</v>
      </c>
    </row>
    <row r="178" spans="1:36" ht="14.5">
      <c r="A178" s="518" t="s">
        <v>1270</v>
      </c>
      <c r="B178" s="536">
        <f t="shared" si="43"/>
        <v>0</v>
      </c>
      <c r="C178" s="537">
        <f t="shared" si="44"/>
        <v>0</v>
      </c>
      <c r="D178" s="536">
        <f t="shared" si="45"/>
        <v>0</v>
      </c>
      <c r="E178" s="537">
        <f t="shared" si="46"/>
        <v>0</v>
      </c>
      <c r="F178" s="536">
        <f t="shared" si="47"/>
        <v>0</v>
      </c>
      <c r="G178" s="537">
        <f t="shared" si="48"/>
        <v>0</v>
      </c>
      <c r="H178" s="536">
        <f t="shared" si="49"/>
        <v>0</v>
      </c>
      <c r="I178" s="537">
        <f t="shared" si="50"/>
        <v>0</v>
      </c>
      <c r="J178" s="538"/>
      <c r="K178" s="538"/>
      <c r="L178" s="536">
        <f t="shared" si="51"/>
        <v>0</v>
      </c>
      <c r="M178" s="516">
        <f t="shared" si="52"/>
        <v>0</v>
      </c>
      <c r="P178" s="568" t="s">
        <v>1270</v>
      </c>
      <c r="Q178" s="698">
        <v>0</v>
      </c>
      <c r="R178" s="699">
        <v>0</v>
      </c>
      <c r="S178" s="700">
        <v>0</v>
      </c>
      <c r="T178" s="698">
        <v>0</v>
      </c>
      <c r="U178" s="699">
        <v>0</v>
      </c>
      <c r="V178" s="700">
        <v>0</v>
      </c>
      <c r="W178" s="698">
        <v>0</v>
      </c>
      <c r="X178" s="699">
        <v>0</v>
      </c>
      <c r="Y178" s="700">
        <v>0</v>
      </c>
      <c r="Z178" s="698">
        <v>0</v>
      </c>
      <c r="AA178" s="699">
        <v>0</v>
      </c>
      <c r="AB178" s="700">
        <v>0</v>
      </c>
      <c r="AC178" s="698">
        <v>0</v>
      </c>
      <c r="AD178" s="699">
        <v>0</v>
      </c>
      <c r="AE178" s="700">
        <v>0</v>
      </c>
      <c r="AF178" s="698">
        <v>0</v>
      </c>
      <c r="AG178" s="699">
        <v>0</v>
      </c>
      <c r="AH178" s="700">
        <v>0</v>
      </c>
    </row>
    <row r="179" spans="1:36" ht="14.5">
      <c r="A179" s="518" t="s">
        <v>1271</v>
      </c>
      <c r="B179" s="536">
        <f t="shared" si="43"/>
        <v>96589.615712046158</v>
      </c>
      <c r="C179" s="537">
        <f t="shared" si="44"/>
        <v>0</v>
      </c>
      <c r="D179" s="536">
        <f t="shared" si="45"/>
        <v>89477.152423509979</v>
      </c>
      <c r="E179" s="537">
        <f t="shared" si="46"/>
        <v>0</v>
      </c>
      <c r="F179" s="536">
        <f t="shared" si="47"/>
        <v>0</v>
      </c>
      <c r="G179" s="537">
        <f t="shared" si="48"/>
        <v>0</v>
      </c>
      <c r="H179" s="536">
        <f t="shared" si="49"/>
        <v>102864.7391397436</v>
      </c>
      <c r="I179" s="537">
        <f t="shared" si="50"/>
        <v>0</v>
      </c>
      <c r="J179" s="538"/>
      <c r="K179" s="538"/>
      <c r="L179" s="536">
        <f t="shared" si="51"/>
        <v>0</v>
      </c>
      <c r="M179" s="516">
        <f t="shared" si="52"/>
        <v>0</v>
      </c>
      <c r="P179" s="568" t="s">
        <v>1271</v>
      </c>
      <c r="Q179" s="698">
        <v>9805</v>
      </c>
      <c r="R179" s="699">
        <v>0</v>
      </c>
      <c r="S179" s="700">
        <v>9805</v>
      </c>
      <c r="T179" s="698">
        <v>9083</v>
      </c>
      <c r="U179" s="699">
        <v>0</v>
      </c>
      <c r="V179" s="700">
        <v>9083</v>
      </c>
      <c r="W179" s="698">
        <v>0</v>
      </c>
      <c r="X179" s="699">
        <v>0</v>
      </c>
      <c r="Y179" s="700">
        <v>0</v>
      </c>
      <c r="Z179" s="698">
        <v>10442</v>
      </c>
      <c r="AA179" s="699">
        <v>0</v>
      </c>
      <c r="AB179" s="700">
        <v>10442</v>
      </c>
      <c r="AC179" s="698">
        <v>173076</v>
      </c>
      <c r="AD179" s="699">
        <v>0</v>
      </c>
      <c r="AE179" s="700">
        <v>173076</v>
      </c>
      <c r="AF179" s="698">
        <v>0</v>
      </c>
      <c r="AG179" s="699">
        <v>0</v>
      </c>
      <c r="AH179" s="700">
        <v>0</v>
      </c>
    </row>
    <row r="180" spans="1:36" ht="14.5">
      <c r="A180" s="518" t="s">
        <v>1272</v>
      </c>
      <c r="B180" s="536">
        <f t="shared" si="43"/>
        <v>0</v>
      </c>
      <c r="C180" s="537">
        <f t="shared" si="44"/>
        <v>0</v>
      </c>
      <c r="D180" s="536">
        <f t="shared" si="45"/>
        <v>0</v>
      </c>
      <c r="E180" s="537">
        <f t="shared" si="46"/>
        <v>0</v>
      </c>
      <c r="F180" s="536">
        <f t="shared" si="47"/>
        <v>0</v>
      </c>
      <c r="G180" s="537">
        <f t="shared" si="48"/>
        <v>0</v>
      </c>
      <c r="H180" s="536">
        <f t="shared" si="49"/>
        <v>0</v>
      </c>
      <c r="I180" s="537">
        <f t="shared" si="50"/>
        <v>0</v>
      </c>
      <c r="J180" s="538"/>
      <c r="K180" s="538"/>
      <c r="L180" s="536">
        <f t="shared" si="51"/>
        <v>0</v>
      </c>
      <c r="M180" s="516">
        <f t="shared" si="52"/>
        <v>0</v>
      </c>
      <c r="P180" s="568" t="s">
        <v>1272</v>
      </c>
      <c r="Q180" s="698">
        <v>0</v>
      </c>
      <c r="R180" s="699">
        <v>0</v>
      </c>
      <c r="S180" s="700">
        <v>0</v>
      </c>
      <c r="T180" s="698">
        <v>0</v>
      </c>
      <c r="U180" s="699">
        <v>0</v>
      </c>
      <c r="V180" s="700">
        <v>0</v>
      </c>
      <c r="W180" s="698">
        <v>0</v>
      </c>
      <c r="X180" s="699">
        <v>0</v>
      </c>
      <c r="Y180" s="700">
        <v>0</v>
      </c>
      <c r="Z180" s="698">
        <v>0</v>
      </c>
      <c r="AA180" s="699">
        <v>0</v>
      </c>
      <c r="AB180" s="700">
        <v>0</v>
      </c>
      <c r="AC180" s="698">
        <v>0</v>
      </c>
      <c r="AD180" s="699">
        <v>0</v>
      </c>
      <c r="AE180" s="700">
        <v>0</v>
      </c>
      <c r="AF180" s="698">
        <v>0</v>
      </c>
      <c r="AG180" s="699">
        <v>0</v>
      </c>
      <c r="AH180" s="700">
        <v>0</v>
      </c>
    </row>
    <row r="181" spans="1:36" ht="14.5">
      <c r="A181" s="518" t="s">
        <v>1273</v>
      </c>
      <c r="B181" s="536">
        <f t="shared" si="43"/>
        <v>0</v>
      </c>
      <c r="C181" s="537">
        <f t="shared" si="44"/>
        <v>0</v>
      </c>
      <c r="D181" s="536">
        <f t="shared" si="45"/>
        <v>0</v>
      </c>
      <c r="E181" s="537">
        <f t="shared" si="46"/>
        <v>0</v>
      </c>
      <c r="F181" s="536">
        <f t="shared" si="47"/>
        <v>0</v>
      </c>
      <c r="G181" s="537">
        <f t="shared" si="48"/>
        <v>0</v>
      </c>
      <c r="H181" s="536">
        <f t="shared" si="49"/>
        <v>0</v>
      </c>
      <c r="I181" s="537">
        <f t="shared" si="50"/>
        <v>0</v>
      </c>
      <c r="J181" s="538"/>
      <c r="K181" s="538"/>
      <c r="L181" s="536">
        <f t="shared" si="51"/>
        <v>0</v>
      </c>
      <c r="M181" s="516">
        <f t="shared" si="52"/>
        <v>0</v>
      </c>
      <c r="P181" s="568" t="s">
        <v>1273</v>
      </c>
      <c r="Q181" s="698">
        <v>0</v>
      </c>
      <c r="R181" s="699">
        <v>0</v>
      </c>
      <c r="S181" s="700">
        <v>0</v>
      </c>
      <c r="T181" s="698">
        <v>0</v>
      </c>
      <c r="U181" s="699">
        <v>0</v>
      </c>
      <c r="V181" s="700">
        <v>0</v>
      </c>
      <c r="W181" s="698">
        <v>0</v>
      </c>
      <c r="X181" s="699">
        <v>0</v>
      </c>
      <c r="Y181" s="700">
        <v>0</v>
      </c>
      <c r="Z181" s="698">
        <v>0</v>
      </c>
      <c r="AA181" s="699">
        <v>0</v>
      </c>
      <c r="AB181" s="700">
        <v>0</v>
      </c>
      <c r="AC181" s="698">
        <v>0</v>
      </c>
      <c r="AD181" s="699">
        <v>0</v>
      </c>
      <c r="AE181" s="700">
        <v>0</v>
      </c>
      <c r="AF181" s="698">
        <v>0</v>
      </c>
      <c r="AG181" s="699">
        <v>0</v>
      </c>
      <c r="AH181" s="700">
        <v>0</v>
      </c>
    </row>
    <row r="182" spans="1:36" ht="14.5">
      <c r="A182" s="518" t="s">
        <v>1274</v>
      </c>
      <c r="B182" s="536">
        <f t="shared" si="43"/>
        <v>0</v>
      </c>
      <c r="C182" s="537">
        <f t="shared" si="44"/>
        <v>0</v>
      </c>
      <c r="D182" s="536">
        <f t="shared" si="45"/>
        <v>0</v>
      </c>
      <c r="E182" s="537">
        <f t="shared" si="46"/>
        <v>0</v>
      </c>
      <c r="F182" s="536">
        <f t="shared" si="47"/>
        <v>0</v>
      </c>
      <c r="G182" s="537">
        <f t="shared" si="48"/>
        <v>0</v>
      </c>
      <c r="H182" s="536">
        <f t="shared" si="49"/>
        <v>0</v>
      </c>
      <c r="I182" s="537">
        <f t="shared" si="50"/>
        <v>0</v>
      </c>
      <c r="J182" s="538"/>
      <c r="K182" s="538"/>
      <c r="L182" s="536">
        <f t="shared" si="51"/>
        <v>0</v>
      </c>
      <c r="M182" s="516">
        <f t="shared" si="52"/>
        <v>0</v>
      </c>
      <c r="P182" s="568" t="s">
        <v>1274</v>
      </c>
      <c r="Q182" s="698">
        <v>0</v>
      </c>
      <c r="R182" s="699">
        <v>0</v>
      </c>
      <c r="S182" s="700">
        <v>0</v>
      </c>
      <c r="T182" s="698">
        <v>0</v>
      </c>
      <c r="U182" s="699">
        <v>0</v>
      </c>
      <c r="V182" s="700">
        <v>0</v>
      </c>
      <c r="W182" s="698">
        <v>0</v>
      </c>
      <c r="X182" s="699">
        <v>0</v>
      </c>
      <c r="Y182" s="700">
        <v>0</v>
      </c>
      <c r="Z182" s="698">
        <v>0</v>
      </c>
      <c r="AA182" s="699">
        <v>0</v>
      </c>
      <c r="AB182" s="700">
        <v>0</v>
      </c>
      <c r="AC182" s="698">
        <v>0</v>
      </c>
      <c r="AD182" s="699">
        <v>0</v>
      </c>
      <c r="AE182" s="700">
        <v>0</v>
      </c>
      <c r="AF182" s="698">
        <v>0</v>
      </c>
      <c r="AG182" s="699">
        <v>0</v>
      </c>
      <c r="AH182" s="700">
        <v>0</v>
      </c>
    </row>
    <row r="183" spans="1:36" ht="14.5">
      <c r="A183" s="518" t="s">
        <v>1275</v>
      </c>
      <c r="B183" s="536">
        <f t="shared" si="43"/>
        <v>0</v>
      </c>
      <c r="C183" s="537">
        <f t="shared" si="44"/>
        <v>0</v>
      </c>
      <c r="D183" s="536">
        <f t="shared" si="45"/>
        <v>0</v>
      </c>
      <c r="E183" s="537">
        <f t="shared" si="46"/>
        <v>0</v>
      </c>
      <c r="F183" s="536">
        <f t="shared" si="47"/>
        <v>0</v>
      </c>
      <c r="G183" s="537">
        <f t="shared" si="48"/>
        <v>0</v>
      </c>
      <c r="H183" s="536">
        <f t="shared" si="49"/>
        <v>0</v>
      </c>
      <c r="I183" s="537">
        <f t="shared" si="50"/>
        <v>0</v>
      </c>
      <c r="J183" s="538"/>
      <c r="K183" s="538"/>
      <c r="L183" s="536">
        <f t="shared" si="51"/>
        <v>0</v>
      </c>
      <c r="M183" s="516">
        <f t="shared" si="52"/>
        <v>0</v>
      </c>
      <c r="P183" s="568" t="s">
        <v>1275</v>
      </c>
      <c r="Q183" s="698">
        <v>0</v>
      </c>
      <c r="R183" s="699">
        <v>0</v>
      </c>
      <c r="S183" s="700">
        <v>0</v>
      </c>
      <c r="T183" s="698">
        <v>0</v>
      </c>
      <c r="U183" s="699">
        <v>0</v>
      </c>
      <c r="V183" s="700">
        <v>0</v>
      </c>
      <c r="W183" s="698">
        <v>0</v>
      </c>
      <c r="X183" s="699">
        <v>0</v>
      </c>
      <c r="Y183" s="700">
        <v>0</v>
      </c>
      <c r="Z183" s="698">
        <v>0</v>
      </c>
      <c r="AA183" s="699">
        <v>0</v>
      </c>
      <c r="AB183" s="700">
        <v>0</v>
      </c>
      <c r="AC183" s="698">
        <v>0</v>
      </c>
      <c r="AD183" s="699">
        <v>0</v>
      </c>
      <c r="AE183" s="700">
        <v>0</v>
      </c>
      <c r="AF183" s="698">
        <v>0</v>
      </c>
      <c r="AG183" s="699">
        <v>0</v>
      </c>
      <c r="AH183" s="700">
        <v>0</v>
      </c>
    </row>
    <row r="184" spans="1:36" ht="14.5">
      <c r="A184" s="99" t="s">
        <v>1276</v>
      </c>
      <c r="B184" s="536">
        <f t="shared" si="43"/>
        <v>0</v>
      </c>
      <c r="C184" s="537">
        <f t="shared" si="44"/>
        <v>0</v>
      </c>
      <c r="D184" s="536">
        <f t="shared" si="45"/>
        <v>0</v>
      </c>
      <c r="E184" s="537">
        <f t="shared" si="46"/>
        <v>0</v>
      </c>
      <c r="F184" s="536">
        <f t="shared" si="47"/>
        <v>0</v>
      </c>
      <c r="G184" s="537">
        <f t="shared" si="48"/>
        <v>0</v>
      </c>
      <c r="H184" s="536">
        <f t="shared" si="49"/>
        <v>0</v>
      </c>
      <c r="I184" s="537">
        <f t="shared" si="50"/>
        <v>0</v>
      </c>
      <c r="J184" s="538"/>
      <c r="K184" s="538"/>
      <c r="L184" s="536">
        <f t="shared" si="51"/>
        <v>0</v>
      </c>
      <c r="M184" s="516">
        <f t="shared" si="52"/>
        <v>0</v>
      </c>
      <c r="P184" s="99" t="s">
        <v>1276</v>
      </c>
      <c r="Q184" s="698">
        <v>9028</v>
      </c>
      <c r="R184" s="699">
        <v>5458</v>
      </c>
      <c r="S184" s="700">
        <v>14486</v>
      </c>
      <c r="T184" s="698">
        <v>67338</v>
      </c>
      <c r="U184" s="699">
        <v>117493</v>
      </c>
      <c r="V184" s="700">
        <v>184831</v>
      </c>
      <c r="W184" s="698">
        <v>0</v>
      </c>
      <c r="X184" s="699">
        <v>0</v>
      </c>
      <c r="Y184" s="700">
        <v>0</v>
      </c>
      <c r="Z184" s="698">
        <v>0</v>
      </c>
      <c r="AA184" s="699">
        <v>0</v>
      </c>
      <c r="AB184" s="700">
        <v>0</v>
      </c>
      <c r="AC184" s="698">
        <v>135790</v>
      </c>
      <c r="AD184" s="699">
        <v>54299</v>
      </c>
      <c r="AE184" s="700">
        <v>190089</v>
      </c>
      <c r="AF184" s="698">
        <v>0</v>
      </c>
      <c r="AG184" s="699">
        <v>0</v>
      </c>
      <c r="AH184" s="700">
        <v>0</v>
      </c>
    </row>
    <row r="185" spans="1:36" ht="14.5">
      <c r="A185" s="518" t="s">
        <v>1277</v>
      </c>
      <c r="B185" s="536">
        <f t="shared" si="43"/>
        <v>0</v>
      </c>
      <c r="C185" s="537">
        <f t="shared" si="44"/>
        <v>0</v>
      </c>
      <c r="D185" s="536">
        <f t="shared" si="45"/>
        <v>0</v>
      </c>
      <c r="E185" s="537">
        <f t="shared" si="46"/>
        <v>0</v>
      </c>
      <c r="F185" s="536">
        <f t="shared" si="47"/>
        <v>0</v>
      </c>
      <c r="G185" s="537">
        <f t="shared" si="48"/>
        <v>0</v>
      </c>
      <c r="H185" s="536">
        <f t="shared" si="49"/>
        <v>0</v>
      </c>
      <c r="I185" s="537">
        <f t="shared" si="50"/>
        <v>0</v>
      </c>
      <c r="J185" s="538"/>
      <c r="K185" s="538"/>
      <c r="L185" s="536">
        <f t="shared" si="51"/>
        <v>0</v>
      </c>
      <c r="M185" s="516">
        <f t="shared" si="52"/>
        <v>0</v>
      </c>
      <c r="P185" s="568" t="s">
        <v>1277</v>
      </c>
      <c r="Q185" s="698">
        <v>0</v>
      </c>
      <c r="R185" s="699">
        <v>0</v>
      </c>
      <c r="S185" s="700">
        <v>0</v>
      </c>
      <c r="T185" s="698">
        <v>0</v>
      </c>
      <c r="U185" s="699">
        <v>0</v>
      </c>
      <c r="V185" s="700">
        <v>0</v>
      </c>
      <c r="W185" s="698">
        <v>0</v>
      </c>
      <c r="X185" s="699">
        <v>0</v>
      </c>
      <c r="Y185" s="700">
        <v>0</v>
      </c>
      <c r="Z185" s="698">
        <v>0</v>
      </c>
      <c r="AA185" s="699">
        <v>0</v>
      </c>
      <c r="AB185" s="700">
        <v>0</v>
      </c>
      <c r="AC185" s="698">
        <v>0</v>
      </c>
      <c r="AD185" s="699">
        <v>0</v>
      </c>
      <c r="AE185" s="700">
        <v>0</v>
      </c>
      <c r="AF185" s="698">
        <v>0</v>
      </c>
      <c r="AG185" s="699">
        <v>0</v>
      </c>
      <c r="AH185" s="700">
        <v>0</v>
      </c>
    </row>
    <row r="186" spans="1:36" ht="14.5">
      <c r="A186" s="518" t="s">
        <v>1278</v>
      </c>
      <c r="B186" s="536">
        <f t="shared" si="43"/>
        <v>0</v>
      </c>
      <c r="C186" s="537">
        <f t="shared" si="44"/>
        <v>0</v>
      </c>
      <c r="D186" s="536">
        <f t="shared" si="45"/>
        <v>0</v>
      </c>
      <c r="E186" s="537">
        <f t="shared" si="46"/>
        <v>0</v>
      </c>
      <c r="F186" s="536">
        <f t="shared" si="47"/>
        <v>0</v>
      </c>
      <c r="G186" s="537">
        <f t="shared" si="48"/>
        <v>0</v>
      </c>
      <c r="H186" s="536">
        <f t="shared" si="49"/>
        <v>0</v>
      </c>
      <c r="I186" s="537">
        <f t="shared" si="50"/>
        <v>0</v>
      </c>
      <c r="J186" s="538"/>
      <c r="K186" s="538"/>
      <c r="L186" s="536">
        <f t="shared" si="51"/>
        <v>0</v>
      </c>
      <c r="M186" s="516">
        <f t="shared" si="52"/>
        <v>0</v>
      </c>
      <c r="P186" s="568" t="s">
        <v>1278</v>
      </c>
      <c r="Q186" s="698">
        <v>6651</v>
      </c>
      <c r="R186" s="699">
        <v>0</v>
      </c>
      <c r="S186" s="700">
        <v>6651</v>
      </c>
      <c r="T186" s="698">
        <v>22520</v>
      </c>
      <c r="U186" s="699">
        <v>10876</v>
      </c>
      <c r="V186" s="700">
        <v>33396</v>
      </c>
      <c r="W186" s="698">
        <v>0</v>
      </c>
      <c r="X186" s="699">
        <v>0</v>
      </c>
      <c r="Y186" s="700">
        <v>0</v>
      </c>
      <c r="Z186" s="698">
        <v>0</v>
      </c>
      <c r="AA186" s="699">
        <v>0</v>
      </c>
      <c r="AB186" s="700">
        <v>0</v>
      </c>
      <c r="AC186" s="698">
        <v>131380</v>
      </c>
      <c r="AD186" s="699">
        <v>655</v>
      </c>
      <c r="AE186" s="700">
        <v>132035</v>
      </c>
      <c r="AF186" s="698">
        <v>0</v>
      </c>
      <c r="AG186" s="699">
        <v>0</v>
      </c>
      <c r="AH186" s="700">
        <v>0</v>
      </c>
    </row>
    <row r="187" spans="1:36" ht="14.5">
      <c r="A187" s="530" t="s">
        <v>1279</v>
      </c>
      <c r="B187" s="536">
        <f t="shared" si="43"/>
        <v>0</v>
      </c>
      <c r="C187" s="537">
        <f t="shared" si="44"/>
        <v>0</v>
      </c>
      <c r="D187" s="536">
        <f t="shared" si="45"/>
        <v>0</v>
      </c>
      <c r="E187" s="537">
        <f t="shared" si="46"/>
        <v>0</v>
      </c>
      <c r="F187" s="536">
        <f t="shared" si="47"/>
        <v>0</v>
      </c>
      <c r="G187" s="537">
        <f t="shared" si="48"/>
        <v>0</v>
      </c>
      <c r="H187" s="536">
        <f t="shared" si="49"/>
        <v>0</v>
      </c>
      <c r="I187" s="537">
        <f t="shared" si="50"/>
        <v>0</v>
      </c>
      <c r="J187" s="538"/>
      <c r="K187" s="538"/>
      <c r="L187" s="536">
        <f t="shared" si="51"/>
        <v>0</v>
      </c>
      <c r="M187" s="516">
        <f t="shared" si="52"/>
        <v>0</v>
      </c>
      <c r="P187" s="568" t="s">
        <v>1279</v>
      </c>
      <c r="Q187" s="701">
        <v>0</v>
      </c>
      <c r="R187" s="702">
        <v>0</v>
      </c>
      <c r="S187" s="703">
        <v>0</v>
      </c>
      <c r="T187" s="701">
        <v>0</v>
      </c>
      <c r="U187" s="702">
        <v>0</v>
      </c>
      <c r="V187" s="703">
        <v>0</v>
      </c>
      <c r="W187" s="701">
        <v>0</v>
      </c>
      <c r="X187" s="702">
        <v>0</v>
      </c>
      <c r="Y187" s="703">
        <v>0</v>
      </c>
      <c r="Z187" s="701">
        <v>0</v>
      </c>
      <c r="AA187" s="702">
        <v>0</v>
      </c>
      <c r="AB187" s="703">
        <v>0</v>
      </c>
      <c r="AC187" s="701">
        <v>0</v>
      </c>
      <c r="AD187" s="702">
        <v>0</v>
      </c>
      <c r="AE187" s="703">
        <v>0</v>
      </c>
      <c r="AF187" s="701">
        <v>0</v>
      </c>
      <c r="AG187" s="702">
        <v>0</v>
      </c>
      <c r="AH187" s="703">
        <v>0</v>
      </c>
    </row>
    <row r="188" spans="1:36" ht="14.5">
      <c r="A188" s="523"/>
      <c r="B188" s="539"/>
      <c r="C188" s="539"/>
      <c r="D188" s="539"/>
      <c r="E188" s="539"/>
      <c r="F188" s="539"/>
      <c r="G188" s="539"/>
      <c r="H188" s="539"/>
      <c r="I188" s="539"/>
      <c r="J188" s="540"/>
      <c r="K188" s="540"/>
      <c r="L188" s="539"/>
      <c r="M188" s="524"/>
      <c r="P188" s="569" t="s">
        <v>190</v>
      </c>
      <c r="Q188" s="704">
        <v>27832</v>
      </c>
      <c r="R188" s="705">
        <v>5459</v>
      </c>
      <c r="S188" s="706">
        <v>33291</v>
      </c>
      <c r="T188" s="704">
        <v>105057</v>
      </c>
      <c r="U188" s="705">
        <v>128388</v>
      </c>
      <c r="V188" s="706">
        <v>233445</v>
      </c>
      <c r="W188" s="704">
        <v>4153</v>
      </c>
      <c r="X188" s="705">
        <v>0</v>
      </c>
      <c r="Y188" s="706">
        <v>4153</v>
      </c>
      <c r="Z188" s="704">
        <v>10442</v>
      </c>
      <c r="AA188" s="705">
        <v>0</v>
      </c>
      <c r="AB188" s="706">
        <v>10442</v>
      </c>
      <c r="AC188" s="704">
        <v>444215</v>
      </c>
      <c r="AD188" s="705">
        <v>54954</v>
      </c>
      <c r="AE188" s="706">
        <v>499169</v>
      </c>
      <c r="AF188" s="704">
        <v>0</v>
      </c>
      <c r="AG188" s="705">
        <v>0</v>
      </c>
      <c r="AH188" s="706">
        <v>0</v>
      </c>
      <c r="AI188" s="97">
        <f>S188+V188+Y188+AB188+AE188+AH188</f>
        <v>780500</v>
      </c>
      <c r="AJ188" s="522"/>
    </row>
    <row r="189" spans="1:36" ht="14">
      <c r="B189" s="534"/>
      <c r="C189" s="534"/>
      <c r="D189" s="534"/>
      <c r="E189" s="534"/>
      <c r="I189" s="534"/>
      <c r="J189" s="534"/>
      <c r="K189" s="534"/>
      <c r="L189" s="534"/>
      <c r="M189" s="534"/>
      <c r="N189" s="534"/>
    </row>
    <row r="190" spans="1:36" ht="14.5" thickBot="1">
      <c r="D190" s="541"/>
      <c r="E190" s="522"/>
      <c r="F190" s="522"/>
      <c r="G190" s="522"/>
      <c r="K190" s="541"/>
      <c r="L190" s="522"/>
    </row>
    <row r="191" spans="1:36" ht="13" thickBot="1">
      <c r="A191" s="838" t="s">
        <v>1359</v>
      </c>
      <c r="B191" s="812"/>
      <c r="C191" s="812"/>
      <c r="D191" s="812"/>
      <c r="E191" s="812"/>
      <c r="F191" s="812"/>
      <c r="G191" s="812"/>
      <c r="H191" s="812"/>
      <c r="I191" s="812"/>
      <c r="J191" s="812"/>
      <c r="K191" s="812"/>
      <c r="L191" s="812"/>
      <c r="M191" s="813"/>
      <c r="N191" s="96"/>
      <c r="P191" s="805" t="s">
        <v>1360</v>
      </c>
      <c r="Q191" s="816" t="s">
        <v>1359</v>
      </c>
      <c r="R191" s="817"/>
      <c r="S191" s="817"/>
      <c r="T191" s="817"/>
      <c r="U191" s="817"/>
      <c r="V191" s="817"/>
      <c r="W191" s="817"/>
      <c r="X191" s="817"/>
      <c r="Y191" s="817"/>
      <c r="Z191" s="817"/>
      <c r="AA191" s="817"/>
      <c r="AB191" s="817"/>
      <c r="AC191" s="817"/>
      <c r="AD191" s="817"/>
      <c r="AE191" s="819"/>
      <c r="AF191" s="819"/>
      <c r="AG191" s="819"/>
      <c r="AH191" s="820"/>
    </row>
    <row r="192" spans="1:36" ht="33" customHeight="1" thickBot="1">
      <c r="A192" s="814" t="s">
        <v>1293</v>
      </c>
      <c r="B192" s="809" t="s">
        <v>1300</v>
      </c>
      <c r="C192" s="807" t="s">
        <v>1301</v>
      </c>
      <c r="D192" s="809" t="s">
        <v>1361</v>
      </c>
      <c r="E192" s="807" t="s">
        <v>1362</v>
      </c>
      <c r="F192" s="809" t="s">
        <v>1363</v>
      </c>
      <c r="G192" s="807" t="s">
        <v>1364</v>
      </c>
      <c r="H192" s="809" t="s">
        <v>1365</v>
      </c>
      <c r="I192" s="807" t="s">
        <v>1366</v>
      </c>
      <c r="J192" s="809" t="s">
        <v>1367</v>
      </c>
      <c r="K192" s="807" t="s">
        <v>1368</v>
      </c>
      <c r="L192" s="809" t="s">
        <v>1369</v>
      </c>
      <c r="M192" s="807" t="s">
        <v>1370</v>
      </c>
      <c r="P192" s="831" t="s">
        <v>1297</v>
      </c>
      <c r="Q192" s="816" t="s">
        <v>226</v>
      </c>
      <c r="R192" s="817"/>
      <c r="S192" s="818"/>
      <c r="T192" s="816" t="s">
        <v>206</v>
      </c>
      <c r="U192" s="817"/>
      <c r="V192" s="818"/>
      <c r="W192" s="816" t="s">
        <v>222</v>
      </c>
      <c r="X192" s="817"/>
      <c r="Y192" s="818"/>
      <c r="Z192" s="816" t="s">
        <v>223</v>
      </c>
      <c r="AA192" s="817"/>
      <c r="AB192" s="818"/>
      <c r="AC192" s="816" t="s">
        <v>225</v>
      </c>
      <c r="AD192" s="817"/>
      <c r="AE192" s="818"/>
      <c r="AF192" s="821" t="s">
        <v>224</v>
      </c>
      <c r="AG192" s="822"/>
      <c r="AH192" s="823"/>
    </row>
    <row r="193" spans="1:34" ht="13" thickBot="1">
      <c r="A193" s="815"/>
      <c r="B193" s="810"/>
      <c r="C193" s="808"/>
      <c r="D193" s="810"/>
      <c r="E193" s="808"/>
      <c r="F193" s="810" t="s">
        <v>1294</v>
      </c>
      <c r="G193" s="808" t="s">
        <v>1294</v>
      </c>
      <c r="H193" s="810" t="s">
        <v>1294</v>
      </c>
      <c r="I193" s="808" t="s">
        <v>1294</v>
      </c>
      <c r="J193" s="810" t="s">
        <v>1294</v>
      </c>
      <c r="K193" s="808" t="s">
        <v>1294</v>
      </c>
      <c r="L193" s="810" t="s">
        <v>1294</v>
      </c>
      <c r="M193" s="808" t="s">
        <v>1294</v>
      </c>
      <c r="P193" s="806">
        <v>2416532</v>
      </c>
      <c r="Q193" s="154" t="s">
        <v>1294</v>
      </c>
      <c r="R193" s="48" t="s">
        <v>1295</v>
      </c>
      <c r="S193" s="48" t="s">
        <v>1296</v>
      </c>
      <c r="T193" s="154" t="s">
        <v>1294</v>
      </c>
      <c r="U193" s="48" t="s">
        <v>1295</v>
      </c>
      <c r="V193" s="48" t="s">
        <v>1296</v>
      </c>
      <c r="W193" s="154" t="s">
        <v>1294</v>
      </c>
      <c r="X193" s="48" t="s">
        <v>1295</v>
      </c>
      <c r="Y193" s="48" t="s">
        <v>1296</v>
      </c>
      <c r="Z193" s="154" t="s">
        <v>1294</v>
      </c>
      <c r="AA193" s="48" t="s">
        <v>1295</v>
      </c>
      <c r="AB193" s="48" t="s">
        <v>1296</v>
      </c>
      <c r="AC193" s="154" t="s">
        <v>1294</v>
      </c>
      <c r="AD193" s="48" t="s">
        <v>1295</v>
      </c>
      <c r="AE193" s="48" t="s">
        <v>1296</v>
      </c>
      <c r="AF193" s="563" t="s">
        <v>1294</v>
      </c>
      <c r="AG193" s="564" t="s">
        <v>1295</v>
      </c>
      <c r="AH193" s="564" t="s">
        <v>1296</v>
      </c>
    </row>
    <row r="194" spans="1:34" ht="14">
      <c r="A194" s="98" t="s">
        <v>2286</v>
      </c>
      <c r="B194" s="515">
        <f t="shared" ref="B194:B212" si="53">Q194*$G36</f>
        <v>0</v>
      </c>
      <c r="C194" s="516">
        <f t="shared" ref="C194:C212" si="54">R194*$G36</f>
        <v>0</v>
      </c>
      <c r="D194" s="515">
        <f t="shared" ref="D194:D212" si="55">T194*$G36</f>
        <v>0</v>
      </c>
      <c r="E194" s="516">
        <f t="shared" ref="E194:E212" si="56">U194*$G36</f>
        <v>0</v>
      </c>
      <c r="F194" s="515">
        <f t="shared" ref="F194:F212" si="57">W194*$G36</f>
        <v>0</v>
      </c>
      <c r="G194" s="516">
        <f t="shared" ref="G194:G212" si="58">X194*$G36</f>
        <v>0</v>
      </c>
      <c r="H194" s="515">
        <f t="shared" ref="H194:H212" si="59">Z194*$G36</f>
        <v>0</v>
      </c>
      <c r="I194" s="516">
        <f t="shared" ref="I194:I212" si="60">AA194*$G36</f>
        <v>0</v>
      </c>
      <c r="J194" s="515">
        <f t="shared" ref="J194:J212" si="61">AC194*$G36</f>
        <v>0</v>
      </c>
      <c r="K194" s="516">
        <f t="shared" ref="K194:K212" si="62">AD194*$G36</f>
        <v>0</v>
      </c>
      <c r="L194" s="514"/>
      <c r="M194" s="542"/>
      <c r="P194" s="99" t="s">
        <v>2285</v>
      </c>
      <c r="Q194" s="567">
        <v>0</v>
      </c>
      <c r="R194" s="567">
        <v>0</v>
      </c>
      <c r="S194" s="567">
        <v>0</v>
      </c>
      <c r="T194" s="567">
        <v>0</v>
      </c>
      <c r="U194" s="567">
        <v>0</v>
      </c>
      <c r="V194" s="567">
        <v>0</v>
      </c>
      <c r="W194" s="567">
        <v>0</v>
      </c>
      <c r="X194" s="567">
        <v>0</v>
      </c>
      <c r="Y194" s="567">
        <v>0</v>
      </c>
      <c r="Z194" s="567">
        <v>0</v>
      </c>
      <c r="AA194" s="567">
        <v>0</v>
      </c>
      <c r="AB194" s="567">
        <v>0</v>
      </c>
      <c r="AC194" s="567">
        <v>0</v>
      </c>
      <c r="AD194" s="567">
        <v>0</v>
      </c>
      <c r="AE194" s="567">
        <v>0</v>
      </c>
      <c r="AF194" s="566">
        <v>0</v>
      </c>
      <c r="AG194" s="566">
        <v>0</v>
      </c>
      <c r="AH194" s="566">
        <v>0</v>
      </c>
    </row>
    <row r="195" spans="1:34" ht="14">
      <c r="A195" s="518" t="s">
        <v>1262</v>
      </c>
      <c r="B195" s="515">
        <f t="shared" si="53"/>
        <v>4081336.2158001368</v>
      </c>
      <c r="C195" s="516">
        <f t="shared" si="54"/>
        <v>0</v>
      </c>
      <c r="D195" s="515">
        <f t="shared" si="55"/>
        <v>0</v>
      </c>
      <c r="E195" s="516">
        <f t="shared" si="56"/>
        <v>0</v>
      </c>
      <c r="F195" s="515">
        <f t="shared" si="57"/>
        <v>0</v>
      </c>
      <c r="G195" s="516">
        <f t="shared" si="58"/>
        <v>0</v>
      </c>
      <c r="H195" s="515">
        <f t="shared" si="59"/>
        <v>0</v>
      </c>
      <c r="I195" s="516">
        <f t="shared" si="60"/>
        <v>0</v>
      </c>
      <c r="J195" s="515">
        <f t="shared" si="61"/>
        <v>0</v>
      </c>
      <c r="K195" s="516">
        <f t="shared" si="62"/>
        <v>15483.496970027105</v>
      </c>
      <c r="L195" s="514"/>
      <c r="M195" s="514"/>
      <c r="P195" s="568" t="s">
        <v>1262</v>
      </c>
      <c r="Q195" s="567">
        <v>273082</v>
      </c>
      <c r="R195" s="567">
        <v>0</v>
      </c>
      <c r="S195" s="567">
        <v>273082</v>
      </c>
      <c r="T195" s="567">
        <v>0</v>
      </c>
      <c r="U195" s="567">
        <v>0</v>
      </c>
      <c r="V195" s="567">
        <v>0</v>
      </c>
      <c r="W195" s="567">
        <v>0</v>
      </c>
      <c r="X195" s="567">
        <v>0</v>
      </c>
      <c r="Y195" s="567">
        <v>0</v>
      </c>
      <c r="Z195" s="567">
        <v>0</v>
      </c>
      <c r="AA195" s="567">
        <v>0</v>
      </c>
      <c r="AB195" s="567">
        <v>0</v>
      </c>
      <c r="AC195" s="567">
        <v>0</v>
      </c>
      <c r="AD195" s="567">
        <v>1036</v>
      </c>
      <c r="AE195" s="567">
        <v>1036</v>
      </c>
      <c r="AF195" s="566">
        <v>0</v>
      </c>
      <c r="AG195" s="566">
        <v>0</v>
      </c>
      <c r="AH195" s="566">
        <v>0</v>
      </c>
    </row>
    <row r="196" spans="1:34" ht="14">
      <c r="A196" s="518" t="s">
        <v>1263</v>
      </c>
      <c r="B196" s="515">
        <f t="shared" si="53"/>
        <v>0</v>
      </c>
      <c r="C196" s="516">
        <f t="shared" si="54"/>
        <v>0</v>
      </c>
      <c r="D196" s="515">
        <f t="shared" si="55"/>
        <v>0</v>
      </c>
      <c r="E196" s="516">
        <f t="shared" si="56"/>
        <v>0</v>
      </c>
      <c r="F196" s="515">
        <f t="shared" si="57"/>
        <v>0</v>
      </c>
      <c r="G196" s="516">
        <f t="shared" si="58"/>
        <v>0</v>
      </c>
      <c r="H196" s="515">
        <f t="shared" si="59"/>
        <v>0</v>
      </c>
      <c r="I196" s="516">
        <f t="shared" si="60"/>
        <v>0</v>
      </c>
      <c r="J196" s="515">
        <f t="shared" si="61"/>
        <v>0</v>
      </c>
      <c r="K196" s="516">
        <f t="shared" si="62"/>
        <v>0</v>
      </c>
      <c r="L196" s="514"/>
      <c r="M196" s="514"/>
      <c r="P196" s="568" t="s">
        <v>1263</v>
      </c>
      <c r="Q196" s="567">
        <v>0</v>
      </c>
      <c r="R196" s="567">
        <v>0</v>
      </c>
      <c r="S196" s="567">
        <v>0</v>
      </c>
      <c r="T196" s="567">
        <v>0</v>
      </c>
      <c r="U196" s="567">
        <v>0</v>
      </c>
      <c r="V196" s="567">
        <v>0</v>
      </c>
      <c r="W196" s="567">
        <v>0</v>
      </c>
      <c r="X196" s="567">
        <v>0</v>
      </c>
      <c r="Y196" s="567">
        <v>0</v>
      </c>
      <c r="Z196" s="567">
        <v>0</v>
      </c>
      <c r="AA196" s="567">
        <v>0</v>
      </c>
      <c r="AB196" s="567">
        <v>0</v>
      </c>
      <c r="AC196" s="567">
        <v>0</v>
      </c>
      <c r="AD196" s="567">
        <v>0</v>
      </c>
      <c r="AE196" s="567">
        <v>0</v>
      </c>
      <c r="AF196" s="566">
        <v>0</v>
      </c>
      <c r="AG196" s="566">
        <v>0</v>
      </c>
      <c r="AH196" s="566">
        <v>0</v>
      </c>
    </row>
    <row r="197" spans="1:34" ht="14">
      <c r="A197" s="518" t="s">
        <v>1264</v>
      </c>
      <c r="B197" s="515">
        <f t="shared" si="53"/>
        <v>0</v>
      </c>
      <c r="C197" s="516">
        <f t="shared" si="54"/>
        <v>0</v>
      </c>
      <c r="D197" s="515">
        <f t="shared" si="55"/>
        <v>0</v>
      </c>
      <c r="E197" s="516">
        <f t="shared" si="56"/>
        <v>0</v>
      </c>
      <c r="F197" s="515">
        <f t="shared" si="57"/>
        <v>0</v>
      </c>
      <c r="G197" s="516">
        <f t="shared" si="58"/>
        <v>0</v>
      </c>
      <c r="H197" s="515">
        <f t="shared" si="59"/>
        <v>0</v>
      </c>
      <c r="I197" s="516">
        <f t="shared" si="60"/>
        <v>0</v>
      </c>
      <c r="J197" s="515">
        <f t="shared" si="61"/>
        <v>0</v>
      </c>
      <c r="K197" s="516">
        <f t="shared" si="62"/>
        <v>0</v>
      </c>
      <c r="L197" s="514"/>
      <c r="M197" s="514"/>
      <c r="P197" s="568" t="s">
        <v>1264</v>
      </c>
      <c r="Q197" s="567">
        <v>0</v>
      </c>
      <c r="R197" s="567">
        <v>0</v>
      </c>
      <c r="S197" s="567">
        <v>0</v>
      </c>
      <c r="T197" s="567">
        <v>0</v>
      </c>
      <c r="U197" s="567">
        <v>0</v>
      </c>
      <c r="V197" s="567">
        <v>0</v>
      </c>
      <c r="W197" s="567">
        <v>0</v>
      </c>
      <c r="X197" s="567">
        <v>0</v>
      </c>
      <c r="Y197" s="567">
        <v>0</v>
      </c>
      <c r="Z197" s="567">
        <v>0</v>
      </c>
      <c r="AA197" s="567">
        <v>0</v>
      </c>
      <c r="AB197" s="567">
        <v>0</v>
      </c>
      <c r="AC197" s="567">
        <v>0</v>
      </c>
      <c r="AD197" s="567">
        <v>0</v>
      </c>
      <c r="AE197" s="567">
        <v>0</v>
      </c>
      <c r="AF197" s="566">
        <v>0</v>
      </c>
      <c r="AG197" s="566">
        <v>0</v>
      </c>
      <c r="AH197" s="566">
        <v>0</v>
      </c>
    </row>
    <row r="198" spans="1:34" ht="14">
      <c r="A198" s="518" t="s">
        <v>1265</v>
      </c>
      <c r="B198" s="515">
        <f t="shared" si="53"/>
        <v>0</v>
      </c>
      <c r="C198" s="516">
        <f t="shared" si="54"/>
        <v>27797.161249150493</v>
      </c>
      <c r="D198" s="515">
        <f t="shared" si="55"/>
        <v>1228.072817384674</v>
      </c>
      <c r="E198" s="516">
        <f t="shared" si="56"/>
        <v>14448.543668882296</v>
      </c>
      <c r="F198" s="515">
        <f t="shared" si="57"/>
        <v>0</v>
      </c>
      <c r="G198" s="516">
        <f t="shared" si="58"/>
        <v>0</v>
      </c>
      <c r="H198" s="515">
        <f t="shared" si="59"/>
        <v>0</v>
      </c>
      <c r="I198" s="516">
        <f t="shared" si="60"/>
        <v>48920.013708166887</v>
      </c>
      <c r="J198" s="515">
        <f t="shared" si="61"/>
        <v>0</v>
      </c>
      <c r="K198" s="516">
        <f t="shared" si="62"/>
        <v>0</v>
      </c>
      <c r="L198" s="514"/>
      <c r="M198" s="514"/>
      <c r="P198" s="568" t="s">
        <v>1265</v>
      </c>
      <c r="Q198" s="567">
        <v>0</v>
      </c>
      <c r="R198" s="567">
        <v>2603</v>
      </c>
      <c r="S198" s="567">
        <v>2603</v>
      </c>
      <c r="T198" s="567">
        <v>115</v>
      </c>
      <c r="U198" s="567">
        <v>1353</v>
      </c>
      <c r="V198" s="567">
        <v>1468</v>
      </c>
      <c r="W198" s="567">
        <v>0</v>
      </c>
      <c r="X198" s="567">
        <v>0</v>
      </c>
      <c r="Y198" s="567">
        <v>0</v>
      </c>
      <c r="Z198" s="567">
        <v>0</v>
      </c>
      <c r="AA198" s="567">
        <v>4581</v>
      </c>
      <c r="AB198" s="567">
        <v>4581</v>
      </c>
      <c r="AC198" s="567">
        <v>0</v>
      </c>
      <c r="AD198" s="567">
        <v>0</v>
      </c>
      <c r="AE198" s="567">
        <v>0</v>
      </c>
      <c r="AF198" s="566">
        <v>8136</v>
      </c>
      <c r="AG198" s="566">
        <v>2396</v>
      </c>
      <c r="AH198" s="566">
        <v>10532</v>
      </c>
    </row>
    <row r="199" spans="1:34" ht="14">
      <c r="A199" s="518" t="s">
        <v>1266</v>
      </c>
      <c r="B199" s="515">
        <f t="shared" si="53"/>
        <v>0</v>
      </c>
      <c r="C199" s="516">
        <f t="shared" si="54"/>
        <v>0</v>
      </c>
      <c r="D199" s="515">
        <f t="shared" si="55"/>
        <v>0</v>
      </c>
      <c r="E199" s="516">
        <f t="shared" si="56"/>
        <v>0</v>
      </c>
      <c r="F199" s="515">
        <f t="shared" si="57"/>
        <v>0</v>
      </c>
      <c r="G199" s="516">
        <f t="shared" si="58"/>
        <v>0</v>
      </c>
      <c r="H199" s="515">
        <f t="shared" si="59"/>
        <v>0</v>
      </c>
      <c r="I199" s="516">
        <f t="shared" si="60"/>
        <v>0</v>
      </c>
      <c r="J199" s="515">
        <f t="shared" si="61"/>
        <v>0</v>
      </c>
      <c r="K199" s="516">
        <f t="shared" si="62"/>
        <v>0</v>
      </c>
      <c r="L199" s="514"/>
      <c r="M199" s="514"/>
      <c r="P199" s="568" t="s">
        <v>1266</v>
      </c>
      <c r="Q199" s="567">
        <v>0</v>
      </c>
      <c r="R199" s="567">
        <v>0</v>
      </c>
      <c r="S199" s="567">
        <v>0</v>
      </c>
      <c r="T199" s="567">
        <v>0</v>
      </c>
      <c r="U199" s="567">
        <v>0</v>
      </c>
      <c r="V199" s="567">
        <v>0</v>
      </c>
      <c r="W199" s="567">
        <v>0</v>
      </c>
      <c r="X199" s="567">
        <v>0</v>
      </c>
      <c r="Y199" s="567">
        <v>0</v>
      </c>
      <c r="Z199" s="567">
        <v>0</v>
      </c>
      <c r="AA199" s="567">
        <v>0</v>
      </c>
      <c r="AB199" s="567">
        <v>0</v>
      </c>
      <c r="AC199" s="567">
        <v>0</v>
      </c>
      <c r="AD199" s="567">
        <v>0</v>
      </c>
      <c r="AE199" s="567">
        <v>0</v>
      </c>
      <c r="AF199" s="566">
        <v>0</v>
      </c>
      <c r="AG199" s="566">
        <v>0</v>
      </c>
      <c r="AH199" s="566">
        <v>0</v>
      </c>
    </row>
    <row r="200" spans="1:34" ht="14">
      <c r="A200" s="518" t="s">
        <v>1267</v>
      </c>
      <c r="B200" s="515">
        <f t="shared" si="53"/>
        <v>0</v>
      </c>
      <c r="C200" s="516">
        <f t="shared" si="54"/>
        <v>0</v>
      </c>
      <c r="D200" s="515">
        <f t="shared" si="55"/>
        <v>0</v>
      </c>
      <c r="E200" s="516">
        <f t="shared" si="56"/>
        <v>0</v>
      </c>
      <c r="F200" s="515">
        <f t="shared" si="57"/>
        <v>0</v>
      </c>
      <c r="G200" s="516">
        <f t="shared" si="58"/>
        <v>0</v>
      </c>
      <c r="H200" s="515">
        <f t="shared" si="59"/>
        <v>0</v>
      </c>
      <c r="I200" s="516">
        <f t="shared" si="60"/>
        <v>0</v>
      </c>
      <c r="J200" s="515">
        <f t="shared" si="61"/>
        <v>0</v>
      </c>
      <c r="K200" s="516">
        <f t="shared" si="62"/>
        <v>0</v>
      </c>
      <c r="L200" s="514"/>
      <c r="M200" s="514"/>
      <c r="P200" s="568" t="s">
        <v>1267</v>
      </c>
      <c r="Q200" s="567">
        <v>0</v>
      </c>
      <c r="R200" s="567">
        <v>0</v>
      </c>
      <c r="S200" s="567">
        <v>0</v>
      </c>
      <c r="T200" s="567">
        <v>0</v>
      </c>
      <c r="U200" s="567">
        <v>0</v>
      </c>
      <c r="V200" s="567">
        <v>0</v>
      </c>
      <c r="W200" s="567">
        <v>0</v>
      </c>
      <c r="X200" s="567">
        <v>0</v>
      </c>
      <c r="Y200" s="567">
        <v>0</v>
      </c>
      <c r="Z200" s="567">
        <v>0</v>
      </c>
      <c r="AA200" s="567">
        <v>0</v>
      </c>
      <c r="AB200" s="567">
        <v>0</v>
      </c>
      <c r="AC200" s="567">
        <v>0</v>
      </c>
      <c r="AD200" s="567">
        <v>0</v>
      </c>
      <c r="AE200" s="567">
        <v>0</v>
      </c>
      <c r="AF200" s="566">
        <v>0</v>
      </c>
      <c r="AG200" s="566">
        <v>0</v>
      </c>
      <c r="AH200" s="566">
        <v>0</v>
      </c>
    </row>
    <row r="201" spans="1:34" ht="14">
      <c r="A201" s="520" t="s">
        <v>1268</v>
      </c>
      <c r="B201" s="515">
        <f t="shared" si="53"/>
        <v>0</v>
      </c>
      <c r="C201" s="516">
        <f t="shared" si="54"/>
        <v>0</v>
      </c>
      <c r="D201" s="515">
        <f t="shared" si="55"/>
        <v>0</v>
      </c>
      <c r="E201" s="516">
        <f t="shared" si="56"/>
        <v>0</v>
      </c>
      <c r="F201" s="515">
        <f t="shared" si="57"/>
        <v>0</v>
      </c>
      <c r="G201" s="516">
        <f t="shared" si="58"/>
        <v>0</v>
      </c>
      <c r="H201" s="515">
        <f t="shared" si="59"/>
        <v>0</v>
      </c>
      <c r="I201" s="516">
        <f t="shared" si="60"/>
        <v>0</v>
      </c>
      <c r="J201" s="515">
        <f t="shared" si="61"/>
        <v>0</v>
      </c>
      <c r="K201" s="516">
        <f t="shared" si="62"/>
        <v>0</v>
      </c>
      <c r="L201" s="514"/>
      <c r="M201" s="514"/>
      <c r="P201" s="99" t="s">
        <v>1268</v>
      </c>
      <c r="Q201" s="567">
        <v>30235</v>
      </c>
      <c r="R201" s="567">
        <v>12604</v>
      </c>
      <c r="S201" s="567">
        <v>42839</v>
      </c>
      <c r="T201" s="567">
        <v>374180</v>
      </c>
      <c r="U201" s="567">
        <v>32749</v>
      </c>
      <c r="V201" s="567">
        <v>406929</v>
      </c>
      <c r="W201" s="567">
        <v>257318</v>
      </c>
      <c r="X201" s="567">
        <v>218</v>
      </c>
      <c r="Y201" s="567">
        <v>257536</v>
      </c>
      <c r="Z201" s="567">
        <v>23150</v>
      </c>
      <c r="AA201" s="567">
        <v>2239</v>
      </c>
      <c r="AB201" s="567">
        <v>25389</v>
      </c>
      <c r="AC201" s="567">
        <v>2305</v>
      </c>
      <c r="AD201" s="567">
        <v>9627</v>
      </c>
      <c r="AE201" s="567">
        <v>11932</v>
      </c>
      <c r="AF201" s="566">
        <v>311139</v>
      </c>
      <c r="AG201" s="566">
        <v>46194</v>
      </c>
      <c r="AH201" s="566">
        <v>357333</v>
      </c>
    </row>
    <row r="202" spans="1:34" ht="14">
      <c r="A202" s="520" t="s">
        <v>1269</v>
      </c>
      <c r="B202" s="515">
        <f t="shared" si="53"/>
        <v>0</v>
      </c>
      <c r="C202" s="516">
        <f t="shared" si="54"/>
        <v>0</v>
      </c>
      <c r="D202" s="515">
        <f t="shared" si="55"/>
        <v>0</v>
      </c>
      <c r="E202" s="516">
        <f t="shared" si="56"/>
        <v>0</v>
      </c>
      <c r="F202" s="515">
        <f t="shared" si="57"/>
        <v>0</v>
      </c>
      <c r="G202" s="516">
        <f t="shared" si="58"/>
        <v>0</v>
      </c>
      <c r="H202" s="515">
        <f t="shared" si="59"/>
        <v>0</v>
      </c>
      <c r="I202" s="516">
        <f t="shared" si="60"/>
        <v>0</v>
      </c>
      <c r="J202" s="515">
        <f t="shared" si="61"/>
        <v>0</v>
      </c>
      <c r="K202" s="516">
        <f t="shared" si="62"/>
        <v>0</v>
      </c>
      <c r="L202" s="514"/>
      <c r="M202" s="514"/>
      <c r="P202" s="99" t="s">
        <v>1269</v>
      </c>
      <c r="Q202" s="567">
        <v>0</v>
      </c>
      <c r="R202" s="567">
        <v>0</v>
      </c>
      <c r="S202" s="567">
        <v>0</v>
      </c>
      <c r="T202" s="567">
        <v>0</v>
      </c>
      <c r="U202" s="567">
        <v>0</v>
      </c>
      <c r="V202" s="567">
        <v>0</v>
      </c>
      <c r="W202" s="567">
        <v>0</v>
      </c>
      <c r="X202" s="567">
        <v>0</v>
      </c>
      <c r="Y202" s="567">
        <v>0</v>
      </c>
      <c r="Z202" s="567">
        <v>0</v>
      </c>
      <c r="AA202" s="567">
        <v>0</v>
      </c>
      <c r="AB202" s="567">
        <v>0</v>
      </c>
      <c r="AC202" s="567">
        <v>0</v>
      </c>
      <c r="AD202" s="567">
        <v>0</v>
      </c>
      <c r="AE202" s="567">
        <v>0</v>
      </c>
      <c r="AF202" s="566">
        <v>0</v>
      </c>
      <c r="AG202" s="566">
        <v>0</v>
      </c>
      <c r="AH202" s="566">
        <v>0</v>
      </c>
    </row>
    <row r="203" spans="1:34" ht="14">
      <c r="A203" s="518" t="s">
        <v>1270</v>
      </c>
      <c r="B203" s="515">
        <f t="shared" si="53"/>
        <v>0</v>
      </c>
      <c r="C203" s="516">
        <f t="shared" si="54"/>
        <v>0</v>
      </c>
      <c r="D203" s="515">
        <f t="shared" si="55"/>
        <v>0</v>
      </c>
      <c r="E203" s="516">
        <f t="shared" si="56"/>
        <v>0</v>
      </c>
      <c r="F203" s="515">
        <f t="shared" si="57"/>
        <v>0</v>
      </c>
      <c r="G203" s="516">
        <f t="shared" si="58"/>
        <v>0</v>
      </c>
      <c r="H203" s="515">
        <f t="shared" si="59"/>
        <v>0</v>
      </c>
      <c r="I203" s="516">
        <f t="shared" si="60"/>
        <v>0</v>
      </c>
      <c r="J203" s="515">
        <f t="shared" si="61"/>
        <v>0</v>
      </c>
      <c r="K203" s="516">
        <f t="shared" si="62"/>
        <v>0</v>
      </c>
      <c r="L203" s="514"/>
      <c r="M203" s="514"/>
      <c r="P203" s="568" t="s">
        <v>1270</v>
      </c>
      <c r="Q203" s="567">
        <v>0</v>
      </c>
      <c r="R203" s="567">
        <v>0</v>
      </c>
      <c r="S203" s="567">
        <v>0</v>
      </c>
      <c r="T203" s="567">
        <v>0</v>
      </c>
      <c r="U203" s="567">
        <v>0</v>
      </c>
      <c r="V203" s="567">
        <v>0</v>
      </c>
      <c r="W203" s="567">
        <v>0</v>
      </c>
      <c r="X203" s="567">
        <v>0</v>
      </c>
      <c r="Y203" s="567">
        <v>0</v>
      </c>
      <c r="Z203" s="567">
        <v>0</v>
      </c>
      <c r="AA203" s="567">
        <v>0</v>
      </c>
      <c r="AB203" s="567">
        <v>0</v>
      </c>
      <c r="AC203" s="567">
        <v>0</v>
      </c>
      <c r="AD203" s="567">
        <v>0</v>
      </c>
      <c r="AE203" s="567">
        <v>0</v>
      </c>
      <c r="AF203" s="566">
        <v>0</v>
      </c>
      <c r="AG203" s="566">
        <v>0</v>
      </c>
      <c r="AH203" s="566">
        <v>0</v>
      </c>
    </row>
    <row r="204" spans="1:34" ht="14">
      <c r="A204" s="518" t="s">
        <v>1271</v>
      </c>
      <c r="B204" s="515">
        <f t="shared" si="53"/>
        <v>592614.54719952261</v>
      </c>
      <c r="C204" s="516">
        <f t="shared" si="54"/>
        <v>0</v>
      </c>
      <c r="D204" s="515">
        <f t="shared" si="55"/>
        <v>50190.802101808418</v>
      </c>
      <c r="E204" s="516">
        <f t="shared" si="56"/>
        <v>0</v>
      </c>
      <c r="F204" s="515">
        <f t="shared" si="57"/>
        <v>0</v>
      </c>
      <c r="G204" s="516">
        <f t="shared" si="58"/>
        <v>0</v>
      </c>
      <c r="H204" s="515">
        <f t="shared" si="59"/>
        <v>0</v>
      </c>
      <c r="I204" s="516">
        <f t="shared" si="60"/>
        <v>0</v>
      </c>
      <c r="J204" s="515">
        <f t="shared" si="61"/>
        <v>0</v>
      </c>
      <c r="K204" s="516">
        <f t="shared" si="62"/>
        <v>0</v>
      </c>
      <c r="L204" s="514"/>
      <c r="M204" s="514"/>
      <c r="P204" s="568" t="s">
        <v>1271</v>
      </c>
      <c r="Q204" s="567">
        <v>55494</v>
      </c>
      <c r="R204" s="567">
        <v>0</v>
      </c>
      <c r="S204" s="567">
        <v>55494</v>
      </c>
      <c r="T204" s="567">
        <v>4700</v>
      </c>
      <c r="U204" s="567">
        <v>0</v>
      </c>
      <c r="V204" s="567">
        <v>4700</v>
      </c>
      <c r="W204" s="567">
        <v>0</v>
      </c>
      <c r="X204" s="567">
        <v>0</v>
      </c>
      <c r="Y204" s="567">
        <v>0</v>
      </c>
      <c r="Z204" s="567">
        <v>0</v>
      </c>
      <c r="AA204" s="567">
        <v>0</v>
      </c>
      <c r="AB204" s="567">
        <v>0</v>
      </c>
      <c r="AC204" s="567">
        <v>0</v>
      </c>
      <c r="AD204" s="567">
        <v>0</v>
      </c>
      <c r="AE204" s="567">
        <v>0</v>
      </c>
      <c r="AF204" s="566">
        <v>0</v>
      </c>
      <c r="AG204" s="566">
        <v>0</v>
      </c>
      <c r="AH204" s="566">
        <v>0</v>
      </c>
    </row>
    <row r="205" spans="1:34" ht="14">
      <c r="A205" s="518" t="s">
        <v>1272</v>
      </c>
      <c r="B205" s="515">
        <f t="shared" si="53"/>
        <v>0</v>
      </c>
      <c r="C205" s="516">
        <f t="shared" si="54"/>
        <v>0</v>
      </c>
      <c r="D205" s="515">
        <f t="shared" si="55"/>
        <v>0</v>
      </c>
      <c r="E205" s="516">
        <f t="shared" si="56"/>
        <v>0</v>
      </c>
      <c r="F205" s="515">
        <f t="shared" si="57"/>
        <v>0</v>
      </c>
      <c r="G205" s="516">
        <f t="shared" si="58"/>
        <v>0</v>
      </c>
      <c r="H205" s="515">
        <f t="shared" si="59"/>
        <v>0</v>
      </c>
      <c r="I205" s="516">
        <f t="shared" si="60"/>
        <v>0</v>
      </c>
      <c r="J205" s="515">
        <f t="shared" si="61"/>
        <v>0</v>
      </c>
      <c r="K205" s="516">
        <f t="shared" si="62"/>
        <v>0</v>
      </c>
      <c r="L205" s="514"/>
      <c r="M205" s="514"/>
      <c r="P205" s="568" t="s">
        <v>1272</v>
      </c>
      <c r="Q205" s="567">
        <v>0</v>
      </c>
      <c r="R205" s="567">
        <v>0</v>
      </c>
      <c r="S205" s="567">
        <v>0</v>
      </c>
      <c r="T205" s="567">
        <v>0</v>
      </c>
      <c r="U205" s="567">
        <v>0</v>
      </c>
      <c r="V205" s="567">
        <v>0</v>
      </c>
      <c r="W205" s="567">
        <v>0</v>
      </c>
      <c r="X205" s="567">
        <v>0</v>
      </c>
      <c r="Y205" s="567">
        <v>0</v>
      </c>
      <c r="Z205" s="567">
        <v>0</v>
      </c>
      <c r="AA205" s="567">
        <v>0</v>
      </c>
      <c r="AB205" s="567">
        <v>0</v>
      </c>
      <c r="AC205" s="567">
        <v>0</v>
      </c>
      <c r="AD205" s="567">
        <v>0</v>
      </c>
      <c r="AE205" s="567">
        <v>0</v>
      </c>
      <c r="AF205" s="566">
        <v>0</v>
      </c>
      <c r="AG205" s="566">
        <v>0</v>
      </c>
      <c r="AH205" s="566">
        <v>0</v>
      </c>
    </row>
    <row r="206" spans="1:34" ht="14">
      <c r="A206" s="518" t="s">
        <v>1273</v>
      </c>
      <c r="B206" s="515">
        <f t="shared" si="53"/>
        <v>0</v>
      </c>
      <c r="C206" s="516">
        <f t="shared" si="54"/>
        <v>0</v>
      </c>
      <c r="D206" s="515">
        <f t="shared" si="55"/>
        <v>0</v>
      </c>
      <c r="E206" s="516">
        <f t="shared" si="56"/>
        <v>0</v>
      </c>
      <c r="F206" s="515">
        <f t="shared" si="57"/>
        <v>0</v>
      </c>
      <c r="G206" s="516">
        <f t="shared" si="58"/>
        <v>0</v>
      </c>
      <c r="H206" s="515">
        <f t="shared" si="59"/>
        <v>410196.97569100093</v>
      </c>
      <c r="I206" s="516">
        <f t="shared" si="60"/>
        <v>0</v>
      </c>
      <c r="J206" s="515">
        <f t="shared" si="61"/>
        <v>0</v>
      </c>
      <c r="K206" s="516">
        <f t="shared" si="62"/>
        <v>0</v>
      </c>
      <c r="L206" s="514"/>
      <c r="M206" s="514"/>
      <c r="P206" s="568" t="s">
        <v>1273</v>
      </c>
      <c r="Q206" s="567">
        <v>0</v>
      </c>
      <c r="R206" s="567">
        <v>0</v>
      </c>
      <c r="S206" s="567">
        <v>0</v>
      </c>
      <c r="T206" s="567">
        <v>0</v>
      </c>
      <c r="U206" s="567">
        <v>0</v>
      </c>
      <c r="V206" s="567">
        <v>0</v>
      </c>
      <c r="W206" s="567">
        <v>0</v>
      </c>
      <c r="X206" s="567">
        <v>0</v>
      </c>
      <c r="Y206" s="567">
        <v>0</v>
      </c>
      <c r="Z206" s="567">
        <v>27578</v>
      </c>
      <c r="AA206" s="567">
        <v>0</v>
      </c>
      <c r="AB206" s="567">
        <v>27578</v>
      </c>
      <c r="AC206" s="567">
        <v>0</v>
      </c>
      <c r="AD206" s="567">
        <v>0</v>
      </c>
      <c r="AE206" s="567">
        <v>0</v>
      </c>
      <c r="AF206" s="566">
        <v>0</v>
      </c>
      <c r="AG206" s="566">
        <v>0</v>
      </c>
      <c r="AH206" s="566">
        <v>0</v>
      </c>
    </row>
    <row r="207" spans="1:34" ht="14">
      <c r="A207" s="518" t="s">
        <v>1274</v>
      </c>
      <c r="B207" s="515">
        <f t="shared" si="53"/>
        <v>0</v>
      </c>
      <c r="C207" s="516">
        <f t="shared" si="54"/>
        <v>0</v>
      </c>
      <c r="D207" s="515">
        <f t="shared" si="55"/>
        <v>0</v>
      </c>
      <c r="E207" s="516">
        <f t="shared" si="56"/>
        <v>0</v>
      </c>
      <c r="F207" s="515">
        <f t="shared" si="57"/>
        <v>0</v>
      </c>
      <c r="G207" s="516">
        <f t="shared" si="58"/>
        <v>0</v>
      </c>
      <c r="H207" s="515">
        <f t="shared" si="59"/>
        <v>0</v>
      </c>
      <c r="I207" s="516">
        <f t="shared" si="60"/>
        <v>0</v>
      </c>
      <c r="J207" s="515">
        <f t="shared" si="61"/>
        <v>0</v>
      </c>
      <c r="K207" s="516">
        <f t="shared" si="62"/>
        <v>0</v>
      </c>
      <c r="L207" s="514"/>
      <c r="M207" s="514"/>
      <c r="P207" s="568" t="s">
        <v>1274</v>
      </c>
      <c r="Q207" s="567">
        <v>0</v>
      </c>
      <c r="R207" s="567">
        <v>0</v>
      </c>
      <c r="S207" s="567">
        <v>0</v>
      </c>
      <c r="T207" s="567">
        <v>0</v>
      </c>
      <c r="U207" s="567">
        <v>0</v>
      </c>
      <c r="V207" s="567">
        <v>0</v>
      </c>
      <c r="W207" s="567">
        <v>0</v>
      </c>
      <c r="X207" s="567">
        <v>0</v>
      </c>
      <c r="Y207" s="567">
        <v>0</v>
      </c>
      <c r="Z207" s="567">
        <v>0</v>
      </c>
      <c r="AA207" s="567">
        <v>0</v>
      </c>
      <c r="AB207" s="567">
        <v>0</v>
      </c>
      <c r="AC207" s="567">
        <v>0</v>
      </c>
      <c r="AD207" s="567">
        <v>0</v>
      </c>
      <c r="AE207" s="567">
        <v>0</v>
      </c>
      <c r="AF207" s="566">
        <v>0</v>
      </c>
      <c r="AG207" s="566">
        <v>0</v>
      </c>
      <c r="AH207" s="566">
        <v>0</v>
      </c>
    </row>
    <row r="208" spans="1:34" ht="14">
      <c r="A208" s="518" t="s">
        <v>1275</v>
      </c>
      <c r="B208" s="515">
        <f t="shared" si="53"/>
        <v>0</v>
      </c>
      <c r="C208" s="516">
        <f t="shared" si="54"/>
        <v>0</v>
      </c>
      <c r="D208" s="515">
        <f t="shared" si="55"/>
        <v>0</v>
      </c>
      <c r="E208" s="516">
        <f t="shared" si="56"/>
        <v>0</v>
      </c>
      <c r="F208" s="515">
        <f t="shared" si="57"/>
        <v>0</v>
      </c>
      <c r="G208" s="516">
        <f t="shared" si="58"/>
        <v>0</v>
      </c>
      <c r="H208" s="515">
        <f t="shared" si="59"/>
        <v>0</v>
      </c>
      <c r="I208" s="516">
        <f t="shared" si="60"/>
        <v>0</v>
      </c>
      <c r="J208" s="515">
        <f t="shared" si="61"/>
        <v>0</v>
      </c>
      <c r="K208" s="516">
        <f t="shared" si="62"/>
        <v>0</v>
      </c>
      <c r="L208" s="514"/>
      <c r="M208" s="514"/>
      <c r="P208" s="568" t="s">
        <v>1275</v>
      </c>
      <c r="Q208" s="567">
        <v>0</v>
      </c>
      <c r="R208" s="567">
        <v>0</v>
      </c>
      <c r="S208" s="567">
        <v>0</v>
      </c>
      <c r="T208" s="567">
        <v>0</v>
      </c>
      <c r="U208" s="567">
        <v>0</v>
      </c>
      <c r="V208" s="567">
        <v>0</v>
      </c>
      <c r="W208" s="567">
        <v>0</v>
      </c>
      <c r="X208" s="567">
        <v>0</v>
      </c>
      <c r="Y208" s="567">
        <v>0</v>
      </c>
      <c r="Z208" s="567">
        <v>0</v>
      </c>
      <c r="AA208" s="567">
        <v>0</v>
      </c>
      <c r="AB208" s="567">
        <v>0</v>
      </c>
      <c r="AC208" s="567">
        <v>0</v>
      </c>
      <c r="AD208" s="567">
        <v>0</v>
      </c>
      <c r="AE208" s="567">
        <v>0</v>
      </c>
      <c r="AF208" s="566">
        <v>0</v>
      </c>
      <c r="AG208" s="566">
        <v>0</v>
      </c>
      <c r="AH208" s="566">
        <v>0</v>
      </c>
    </row>
    <row r="209" spans="1:36" ht="14">
      <c r="A209" s="99" t="s">
        <v>1276</v>
      </c>
      <c r="B209" s="515">
        <f t="shared" si="53"/>
        <v>0</v>
      </c>
      <c r="C209" s="516">
        <f t="shared" si="54"/>
        <v>0</v>
      </c>
      <c r="D209" s="515">
        <f t="shared" si="55"/>
        <v>0</v>
      </c>
      <c r="E209" s="516">
        <f t="shared" si="56"/>
        <v>0</v>
      </c>
      <c r="F209" s="515">
        <f t="shared" si="57"/>
        <v>0</v>
      </c>
      <c r="G209" s="516">
        <f t="shared" si="58"/>
        <v>0</v>
      </c>
      <c r="H209" s="515">
        <f t="shared" si="59"/>
        <v>0</v>
      </c>
      <c r="I209" s="516">
        <f t="shared" si="60"/>
        <v>0</v>
      </c>
      <c r="J209" s="515">
        <f t="shared" si="61"/>
        <v>0</v>
      </c>
      <c r="K209" s="516">
        <f t="shared" si="62"/>
        <v>0</v>
      </c>
      <c r="L209" s="514"/>
      <c r="M209" s="514"/>
      <c r="P209" s="99" t="s">
        <v>1276</v>
      </c>
      <c r="Q209" s="567">
        <v>0</v>
      </c>
      <c r="R209" s="567">
        <v>1893</v>
      </c>
      <c r="S209" s="567">
        <v>1893</v>
      </c>
      <c r="T209" s="567">
        <v>26041</v>
      </c>
      <c r="U209" s="567">
        <v>200405</v>
      </c>
      <c r="V209" s="567">
        <v>226446</v>
      </c>
      <c r="W209" s="567">
        <v>0</v>
      </c>
      <c r="X209" s="567">
        <v>0</v>
      </c>
      <c r="Y209" s="567">
        <v>0</v>
      </c>
      <c r="Z209" s="567">
        <v>0</v>
      </c>
      <c r="AA209" s="567">
        <v>199</v>
      </c>
      <c r="AB209" s="567">
        <v>199</v>
      </c>
      <c r="AC209" s="567">
        <v>0</v>
      </c>
      <c r="AD209" s="567">
        <v>62226</v>
      </c>
      <c r="AE209" s="567">
        <v>62226</v>
      </c>
      <c r="AF209" s="566">
        <v>0</v>
      </c>
      <c r="AG209" s="566">
        <v>172117</v>
      </c>
      <c r="AH209" s="566">
        <v>172117</v>
      </c>
    </row>
    <row r="210" spans="1:36" ht="14">
      <c r="A210" s="518" t="s">
        <v>1277</v>
      </c>
      <c r="B210" s="515">
        <f t="shared" si="53"/>
        <v>0</v>
      </c>
      <c r="C210" s="516">
        <f t="shared" si="54"/>
        <v>0</v>
      </c>
      <c r="D210" s="515">
        <f t="shared" si="55"/>
        <v>0</v>
      </c>
      <c r="E210" s="516">
        <f t="shared" si="56"/>
        <v>0</v>
      </c>
      <c r="F210" s="515">
        <f t="shared" si="57"/>
        <v>0</v>
      </c>
      <c r="G210" s="516">
        <f t="shared" si="58"/>
        <v>0</v>
      </c>
      <c r="H210" s="515">
        <f t="shared" si="59"/>
        <v>0</v>
      </c>
      <c r="I210" s="516">
        <f t="shared" si="60"/>
        <v>0</v>
      </c>
      <c r="J210" s="515">
        <f t="shared" si="61"/>
        <v>0</v>
      </c>
      <c r="K210" s="516">
        <f t="shared" si="62"/>
        <v>0</v>
      </c>
      <c r="L210" s="514"/>
      <c r="M210" s="514"/>
      <c r="P210" s="568" t="s">
        <v>1277</v>
      </c>
      <c r="Q210" s="567">
        <v>0</v>
      </c>
      <c r="R210" s="567">
        <v>0</v>
      </c>
      <c r="S210" s="567">
        <v>0</v>
      </c>
      <c r="T210" s="567">
        <v>0</v>
      </c>
      <c r="U210" s="567">
        <v>0</v>
      </c>
      <c r="V210" s="567">
        <v>0</v>
      </c>
      <c r="W210" s="567">
        <v>0</v>
      </c>
      <c r="X210" s="567">
        <v>0</v>
      </c>
      <c r="Y210" s="567">
        <v>0</v>
      </c>
      <c r="Z210" s="567">
        <v>0</v>
      </c>
      <c r="AA210" s="567">
        <v>0</v>
      </c>
      <c r="AB210" s="567">
        <v>0</v>
      </c>
      <c r="AC210" s="567">
        <v>0</v>
      </c>
      <c r="AD210" s="567">
        <v>0</v>
      </c>
      <c r="AE210" s="567">
        <v>0</v>
      </c>
      <c r="AF210" s="566">
        <v>0</v>
      </c>
      <c r="AG210" s="566">
        <v>0</v>
      </c>
      <c r="AH210" s="566">
        <v>0</v>
      </c>
    </row>
    <row r="211" spans="1:36" ht="14">
      <c r="A211" s="518" t="s">
        <v>1278</v>
      </c>
      <c r="B211" s="515">
        <f t="shared" si="53"/>
        <v>0</v>
      </c>
      <c r="C211" s="516">
        <f t="shared" si="54"/>
        <v>0</v>
      </c>
      <c r="D211" s="515">
        <f t="shared" si="55"/>
        <v>0</v>
      </c>
      <c r="E211" s="516">
        <f t="shared" si="56"/>
        <v>0</v>
      </c>
      <c r="F211" s="515">
        <f t="shared" si="57"/>
        <v>0</v>
      </c>
      <c r="G211" s="516">
        <f t="shared" si="58"/>
        <v>0</v>
      </c>
      <c r="H211" s="515">
        <f t="shared" si="59"/>
        <v>0</v>
      </c>
      <c r="I211" s="516">
        <f t="shared" si="60"/>
        <v>0</v>
      </c>
      <c r="J211" s="515">
        <f t="shared" si="61"/>
        <v>0</v>
      </c>
      <c r="K211" s="516">
        <f t="shared" si="62"/>
        <v>0</v>
      </c>
      <c r="L211" s="514"/>
      <c r="M211" s="514"/>
      <c r="P211" s="568" t="s">
        <v>1278</v>
      </c>
      <c r="Q211" s="567">
        <v>91950</v>
      </c>
      <c r="R211" s="567">
        <v>0</v>
      </c>
      <c r="S211" s="567">
        <v>91950</v>
      </c>
      <c r="T211" s="567">
        <v>221477</v>
      </c>
      <c r="U211" s="567">
        <v>83</v>
      </c>
      <c r="V211" s="567">
        <v>221560</v>
      </c>
      <c r="W211" s="567">
        <v>0</v>
      </c>
      <c r="X211" s="567">
        <v>0</v>
      </c>
      <c r="Y211" s="567">
        <v>0</v>
      </c>
      <c r="Z211" s="567">
        <v>0</v>
      </c>
      <c r="AA211" s="567">
        <v>0</v>
      </c>
      <c r="AB211" s="567">
        <v>0</v>
      </c>
      <c r="AC211" s="567">
        <v>25366</v>
      </c>
      <c r="AD211" s="567">
        <v>0</v>
      </c>
      <c r="AE211" s="567">
        <v>25366</v>
      </c>
      <c r="AF211" s="566">
        <v>0</v>
      </c>
      <c r="AG211" s="566">
        <v>6</v>
      </c>
      <c r="AH211" s="566">
        <v>6</v>
      </c>
    </row>
    <row r="212" spans="1:36" ht="14">
      <c r="A212" s="530" t="s">
        <v>1279</v>
      </c>
      <c r="B212" s="515">
        <f t="shared" si="53"/>
        <v>1972023.6083022552</v>
      </c>
      <c r="C212" s="516">
        <f t="shared" si="54"/>
        <v>0</v>
      </c>
      <c r="D212" s="515">
        <f t="shared" si="55"/>
        <v>0</v>
      </c>
      <c r="E212" s="516">
        <f t="shared" si="56"/>
        <v>0</v>
      </c>
      <c r="F212" s="515">
        <f t="shared" si="57"/>
        <v>0</v>
      </c>
      <c r="G212" s="516">
        <f t="shared" si="58"/>
        <v>0</v>
      </c>
      <c r="H212" s="515">
        <f t="shared" si="59"/>
        <v>30159.939078682139</v>
      </c>
      <c r="I212" s="516">
        <f t="shared" si="60"/>
        <v>0</v>
      </c>
      <c r="J212" s="515">
        <f t="shared" si="61"/>
        <v>0</v>
      </c>
      <c r="K212" s="516">
        <f t="shared" si="62"/>
        <v>0</v>
      </c>
      <c r="L212" s="514"/>
      <c r="M212" s="514"/>
      <c r="P212" s="568" t="s">
        <v>1279</v>
      </c>
      <c r="Q212" s="567">
        <v>131948</v>
      </c>
      <c r="R212" s="567">
        <v>0</v>
      </c>
      <c r="S212" s="567">
        <v>131948</v>
      </c>
      <c r="T212" s="567">
        <v>0</v>
      </c>
      <c r="U212" s="567">
        <v>0</v>
      </c>
      <c r="V212" s="567">
        <v>0</v>
      </c>
      <c r="W212" s="567">
        <v>0</v>
      </c>
      <c r="X212" s="567">
        <v>0</v>
      </c>
      <c r="Y212" s="567">
        <v>0</v>
      </c>
      <c r="Z212" s="567">
        <v>2018</v>
      </c>
      <c r="AA212" s="567">
        <v>0</v>
      </c>
      <c r="AB212" s="567">
        <v>2018</v>
      </c>
      <c r="AC212" s="567">
        <v>0</v>
      </c>
      <c r="AD212" s="567">
        <v>0</v>
      </c>
      <c r="AE212" s="567">
        <v>0</v>
      </c>
      <c r="AF212" s="566">
        <v>0</v>
      </c>
      <c r="AG212" s="566">
        <v>0</v>
      </c>
      <c r="AH212" s="566">
        <v>0</v>
      </c>
    </row>
    <row r="213" spans="1:36" ht="14">
      <c r="A213" s="523"/>
      <c r="B213" s="531"/>
      <c r="C213" s="531"/>
      <c r="D213" s="531"/>
      <c r="E213" s="531"/>
      <c r="F213" s="531"/>
      <c r="G213" s="531"/>
      <c r="H213" s="531"/>
      <c r="I213" s="531"/>
      <c r="J213" s="531"/>
      <c r="K213" s="531"/>
      <c r="L213" s="532"/>
      <c r="M213" s="532"/>
      <c r="P213" s="569" t="s">
        <v>190</v>
      </c>
      <c r="Q213" s="570">
        <v>582709</v>
      </c>
      <c r="R213" s="570">
        <v>17100</v>
      </c>
      <c r="S213" s="570">
        <v>599809</v>
      </c>
      <c r="T213" s="570">
        <v>626513</v>
      </c>
      <c r="U213" s="570">
        <v>234590</v>
      </c>
      <c r="V213" s="570">
        <v>861103</v>
      </c>
      <c r="W213" s="570">
        <v>257318</v>
      </c>
      <c r="X213" s="570">
        <v>218</v>
      </c>
      <c r="Y213" s="570">
        <v>257536</v>
      </c>
      <c r="Z213" s="570">
        <v>52746</v>
      </c>
      <c r="AA213" s="570">
        <v>7019</v>
      </c>
      <c r="AB213" s="570">
        <v>59765</v>
      </c>
      <c r="AC213" s="570">
        <v>27671</v>
      </c>
      <c r="AD213" s="570">
        <v>72889</v>
      </c>
      <c r="AE213" s="570">
        <v>100560</v>
      </c>
      <c r="AF213" s="570">
        <v>319275</v>
      </c>
      <c r="AG213" s="570">
        <v>220713</v>
      </c>
      <c r="AH213" s="570">
        <v>539988</v>
      </c>
      <c r="AI213" s="97">
        <f>S213+V213+Y213+AB213+AE213+AH213</f>
        <v>2418761</v>
      </c>
      <c r="AJ213" s="522"/>
    </row>
    <row r="214" spans="1:36" ht="14">
      <c r="B214" s="534"/>
      <c r="C214" s="534"/>
      <c r="D214" s="534"/>
      <c r="E214" s="534"/>
      <c r="I214" s="534"/>
      <c r="J214" s="534"/>
      <c r="K214" s="534"/>
      <c r="L214" s="534"/>
      <c r="M214" s="534"/>
      <c r="N214" s="534"/>
    </row>
    <row r="215" spans="1:36" ht="14.5" thickBot="1">
      <c r="H215" s="41"/>
      <c r="I215" s="25"/>
      <c r="J215" s="25"/>
      <c r="N215" s="118"/>
    </row>
    <row r="216" spans="1:36" ht="13" thickBot="1">
      <c r="A216" s="838" t="s">
        <v>1371</v>
      </c>
      <c r="B216" s="812"/>
      <c r="C216" s="812"/>
      <c r="D216" s="812"/>
      <c r="E216" s="812"/>
      <c r="F216" s="812"/>
      <c r="G216" s="812"/>
      <c r="H216" s="812"/>
      <c r="I216" s="812"/>
      <c r="J216" s="812"/>
      <c r="K216" s="812"/>
      <c r="L216" s="812"/>
      <c r="M216" s="813"/>
      <c r="N216" s="96"/>
      <c r="P216" s="805" t="s">
        <v>1372</v>
      </c>
      <c r="Q216" s="816" t="s">
        <v>1371</v>
      </c>
      <c r="R216" s="817"/>
      <c r="S216" s="817"/>
      <c r="T216" s="817"/>
      <c r="U216" s="817"/>
      <c r="V216" s="817"/>
      <c r="W216" s="817"/>
      <c r="X216" s="817"/>
      <c r="Y216" s="817"/>
      <c r="Z216" s="817"/>
      <c r="AA216" s="817"/>
      <c r="AB216" s="817"/>
      <c r="AC216" s="817"/>
      <c r="AD216" s="817"/>
      <c r="AE216" s="819"/>
      <c r="AF216" s="819"/>
      <c r="AG216" s="819"/>
      <c r="AH216" s="820"/>
    </row>
    <row r="217" spans="1:36" ht="24" customHeight="1" thickBot="1">
      <c r="A217" s="814" t="s">
        <v>1293</v>
      </c>
      <c r="B217" s="809" t="s">
        <v>1373</v>
      </c>
      <c r="C217" s="807"/>
      <c r="D217" s="809" t="s">
        <v>1374</v>
      </c>
      <c r="E217" s="807"/>
      <c r="F217" s="809" t="s">
        <v>1375</v>
      </c>
      <c r="G217" s="807"/>
      <c r="H217" s="809" t="s">
        <v>1376</v>
      </c>
      <c r="I217" s="807"/>
      <c r="J217" s="809" t="s">
        <v>1377</v>
      </c>
      <c r="K217" s="807"/>
      <c r="L217" s="809" t="s">
        <v>1378</v>
      </c>
      <c r="M217" s="807"/>
      <c r="P217" s="831" t="s">
        <v>1297</v>
      </c>
      <c r="Q217" s="816" t="s">
        <v>226</v>
      </c>
      <c r="R217" s="817"/>
      <c r="S217" s="818"/>
      <c r="T217" s="816" t="s">
        <v>206</v>
      </c>
      <c r="U217" s="817"/>
      <c r="V217" s="818"/>
      <c r="W217" s="816" t="s">
        <v>222</v>
      </c>
      <c r="X217" s="817"/>
      <c r="Y217" s="818"/>
      <c r="Z217" s="816" t="s">
        <v>223</v>
      </c>
      <c r="AA217" s="817"/>
      <c r="AB217" s="818"/>
      <c r="AC217" s="816" t="s">
        <v>225</v>
      </c>
      <c r="AD217" s="817"/>
      <c r="AE217" s="818"/>
      <c r="AF217" s="816" t="s">
        <v>224</v>
      </c>
      <c r="AG217" s="817"/>
      <c r="AH217" s="818"/>
    </row>
    <row r="218" spans="1:36" ht="13.5" customHeight="1" thickBot="1">
      <c r="A218" s="815"/>
      <c r="B218" s="810"/>
      <c r="C218" s="808"/>
      <c r="D218" s="810"/>
      <c r="E218" s="808"/>
      <c r="F218" s="810"/>
      <c r="G218" s="808"/>
      <c r="H218" s="810"/>
      <c r="I218" s="808"/>
      <c r="J218" s="810"/>
      <c r="K218" s="808"/>
      <c r="L218" s="810"/>
      <c r="M218" s="808"/>
      <c r="P218" s="806">
        <v>0</v>
      </c>
      <c r="Q218" s="154" t="s">
        <v>1294</v>
      </c>
      <c r="R218" s="48" t="s">
        <v>1295</v>
      </c>
      <c r="S218" s="155" t="s">
        <v>1318</v>
      </c>
      <c r="T218" s="154" t="s">
        <v>1294</v>
      </c>
      <c r="U218" s="48" t="s">
        <v>1295</v>
      </c>
      <c r="V218" s="155" t="s">
        <v>1318</v>
      </c>
      <c r="W218" s="154" t="s">
        <v>1294</v>
      </c>
      <c r="X218" s="48" t="s">
        <v>1295</v>
      </c>
      <c r="Y218" s="155" t="s">
        <v>1318</v>
      </c>
      <c r="Z218" s="154" t="s">
        <v>1294</v>
      </c>
      <c r="AA218" s="48" t="s">
        <v>1295</v>
      </c>
      <c r="AB218" s="155" t="s">
        <v>1318</v>
      </c>
      <c r="AC218" s="154" t="s">
        <v>1294</v>
      </c>
      <c r="AD218" s="48" t="s">
        <v>1295</v>
      </c>
      <c r="AE218" s="155" t="s">
        <v>1318</v>
      </c>
      <c r="AF218" s="154" t="s">
        <v>1294</v>
      </c>
      <c r="AG218" s="48" t="s">
        <v>1295</v>
      </c>
      <c r="AH218" s="155" t="s">
        <v>1318</v>
      </c>
    </row>
    <row r="219" spans="1:36" ht="14">
      <c r="A219" s="98" t="s">
        <v>2285</v>
      </c>
      <c r="B219" s="515">
        <f t="shared" ref="B219:B237" si="63">$S219*$H36</f>
        <v>0</v>
      </c>
      <c r="C219" s="516"/>
      <c r="D219" s="515">
        <f t="shared" ref="D219:D237" si="64">$V219*$H36</f>
        <v>0</v>
      </c>
      <c r="E219" s="516"/>
      <c r="F219" s="515">
        <f t="shared" ref="F219:F237" si="65">Y219*$H36</f>
        <v>0</v>
      </c>
      <c r="G219" s="516"/>
      <c r="H219" s="515">
        <f t="shared" ref="H219:H237" si="66">AB219*$H36</f>
        <v>0</v>
      </c>
      <c r="I219" s="516"/>
      <c r="J219" s="515">
        <f t="shared" ref="J219:J237" si="67">AE219*$H36</f>
        <v>0</v>
      </c>
      <c r="K219" s="516"/>
      <c r="L219" s="515">
        <f t="shared" ref="L219:L237" si="68">AH219*$H36</f>
        <v>0</v>
      </c>
      <c r="M219" s="516"/>
      <c r="P219" s="99" t="s">
        <v>2285</v>
      </c>
      <c r="Q219" s="578"/>
      <c r="R219" s="578"/>
      <c r="S219" s="567">
        <v>0</v>
      </c>
      <c r="T219" s="578"/>
      <c r="U219" s="578"/>
      <c r="V219" s="567">
        <v>0</v>
      </c>
      <c r="W219" s="578"/>
      <c r="X219" s="578"/>
      <c r="Y219" s="567">
        <v>0</v>
      </c>
      <c r="Z219" s="578"/>
      <c r="AA219" s="578"/>
      <c r="AB219" s="567">
        <v>0</v>
      </c>
      <c r="AC219" s="578"/>
      <c r="AD219" s="578"/>
      <c r="AE219" s="567">
        <v>0</v>
      </c>
      <c r="AF219" s="578"/>
      <c r="AG219" s="578"/>
      <c r="AH219" s="567">
        <v>0</v>
      </c>
    </row>
    <row r="220" spans="1:36" ht="14">
      <c r="A220" s="518" t="s">
        <v>1262</v>
      </c>
      <c r="B220" s="515">
        <f t="shared" si="63"/>
        <v>0</v>
      </c>
      <c r="C220" s="516"/>
      <c r="D220" s="515">
        <f t="shared" si="64"/>
        <v>0</v>
      </c>
      <c r="E220" s="516"/>
      <c r="F220" s="515">
        <f t="shared" si="65"/>
        <v>0</v>
      </c>
      <c r="G220" s="516"/>
      <c r="H220" s="515">
        <f t="shared" si="66"/>
        <v>0</v>
      </c>
      <c r="I220" s="516"/>
      <c r="J220" s="515">
        <f t="shared" si="67"/>
        <v>0</v>
      </c>
      <c r="K220" s="516"/>
      <c r="L220" s="515">
        <f t="shared" si="68"/>
        <v>0</v>
      </c>
      <c r="M220" s="516"/>
      <c r="P220" s="568" t="s">
        <v>1262</v>
      </c>
      <c r="Q220" s="578"/>
      <c r="R220" s="578"/>
      <c r="S220" s="567">
        <v>0</v>
      </c>
      <c r="T220" s="578"/>
      <c r="U220" s="578"/>
      <c r="V220" s="567">
        <v>0</v>
      </c>
      <c r="W220" s="578"/>
      <c r="X220" s="578"/>
      <c r="Y220" s="567">
        <v>0</v>
      </c>
      <c r="Z220" s="578"/>
      <c r="AA220" s="578"/>
      <c r="AB220" s="567">
        <v>0</v>
      </c>
      <c r="AC220" s="578"/>
      <c r="AD220" s="578"/>
      <c r="AE220" s="567">
        <v>0</v>
      </c>
      <c r="AF220" s="578"/>
      <c r="AG220" s="578"/>
      <c r="AH220" s="567">
        <v>0</v>
      </c>
    </row>
    <row r="221" spans="1:36" ht="14">
      <c r="A221" s="518" t="s">
        <v>1263</v>
      </c>
      <c r="B221" s="515">
        <f t="shared" si="63"/>
        <v>0</v>
      </c>
      <c r="C221" s="516"/>
      <c r="D221" s="515">
        <f t="shared" si="64"/>
        <v>0</v>
      </c>
      <c r="E221" s="516"/>
      <c r="F221" s="515">
        <f t="shared" si="65"/>
        <v>0</v>
      </c>
      <c r="G221" s="516"/>
      <c r="H221" s="515">
        <f t="shared" si="66"/>
        <v>0</v>
      </c>
      <c r="I221" s="516"/>
      <c r="J221" s="515">
        <f t="shared" si="67"/>
        <v>0</v>
      </c>
      <c r="K221" s="516"/>
      <c r="L221" s="515">
        <f t="shared" si="68"/>
        <v>0</v>
      </c>
      <c r="M221" s="516"/>
      <c r="P221" s="568" t="s">
        <v>1263</v>
      </c>
      <c r="Q221" s="578"/>
      <c r="R221" s="578"/>
      <c r="S221" s="567">
        <v>0</v>
      </c>
      <c r="T221" s="578"/>
      <c r="U221" s="578"/>
      <c r="V221" s="567">
        <v>0</v>
      </c>
      <c r="W221" s="578"/>
      <c r="X221" s="578"/>
      <c r="Y221" s="567">
        <v>0</v>
      </c>
      <c r="Z221" s="578"/>
      <c r="AA221" s="578"/>
      <c r="AB221" s="567">
        <v>0</v>
      </c>
      <c r="AC221" s="578"/>
      <c r="AD221" s="578"/>
      <c r="AE221" s="567">
        <v>0</v>
      </c>
      <c r="AF221" s="578"/>
      <c r="AG221" s="578"/>
      <c r="AH221" s="567">
        <v>0</v>
      </c>
    </row>
    <row r="222" spans="1:36" ht="14">
      <c r="A222" s="518" t="s">
        <v>1264</v>
      </c>
      <c r="B222" s="515">
        <f t="shared" si="63"/>
        <v>0</v>
      </c>
      <c r="C222" s="516"/>
      <c r="D222" s="515">
        <f t="shared" si="64"/>
        <v>0</v>
      </c>
      <c r="E222" s="516"/>
      <c r="F222" s="515">
        <f t="shared" si="65"/>
        <v>0</v>
      </c>
      <c r="G222" s="516"/>
      <c r="H222" s="515">
        <f t="shared" si="66"/>
        <v>0</v>
      </c>
      <c r="I222" s="516"/>
      <c r="J222" s="515">
        <f t="shared" si="67"/>
        <v>0</v>
      </c>
      <c r="K222" s="516"/>
      <c r="L222" s="515">
        <f t="shared" si="68"/>
        <v>0</v>
      </c>
      <c r="M222" s="516"/>
      <c r="P222" s="568" t="s">
        <v>1264</v>
      </c>
      <c r="Q222" s="578"/>
      <c r="R222" s="578"/>
      <c r="S222" s="567">
        <v>0</v>
      </c>
      <c r="T222" s="578"/>
      <c r="U222" s="578"/>
      <c r="V222" s="567">
        <v>0</v>
      </c>
      <c r="W222" s="578"/>
      <c r="X222" s="578"/>
      <c r="Y222" s="567">
        <v>0</v>
      </c>
      <c r="Z222" s="578"/>
      <c r="AA222" s="578"/>
      <c r="AB222" s="567">
        <v>0</v>
      </c>
      <c r="AC222" s="578"/>
      <c r="AD222" s="578"/>
      <c r="AE222" s="567">
        <v>0</v>
      </c>
      <c r="AF222" s="578"/>
      <c r="AG222" s="578"/>
      <c r="AH222" s="567">
        <v>0</v>
      </c>
    </row>
    <row r="223" spans="1:36" ht="14">
      <c r="A223" s="518" t="s">
        <v>1265</v>
      </c>
      <c r="B223" s="515">
        <f t="shared" si="63"/>
        <v>0</v>
      </c>
      <c r="C223" s="516"/>
      <c r="D223" s="515">
        <f t="shared" si="64"/>
        <v>0</v>
      </c>
      <c r="E223" s="516"/>
      <c r="F223" s="515">
        <f t="shared" si="65"/>
        <v>0</v>
      </c>
      <c r="G223" s="516"/>
      <c r="H223" s="515">
        <f t="shared" si="66"/>
        <v>0</v>
      </c>
      <c r="I223" s="516"/>
      <c r="J223" s="515">
        <f t="shared" si="67"/>
        <v>0</v>
      </c>
      <c r="K223" s="516"/>
      <c r="L223" s="515">
        <f t="shared" si="68"/>
        <v>0</v>
      </c>
      <c r="M223" s="516"/>
      <c r="P223" s="568" t="s">
        <v>1265</v>
      </c>
      <c r="Q223" s="578"/>
      <c r="R223" s="578"/>
      <c r="S223" s="567">
        <v>0</v>
      </c>
      <c r="T223" s="578"/>
      <c r="U223" s="578"/>
      <c r="V223" s="567">
        <v>0</v>
      </c>
      <c r="W223" s="578"/>
      <c r="X223" s="578"/>
      <c r="Y223" s="567">
        <v>0</v>
      </c>
      <c r="Z223" s="578"/>
      <c r="AA223" s="578"/>
      <c r="AB223" s="567">
        <v>0</v>
      </c>
      <c r="AC223" s="578"/>
      <c r="AD223" s="578"/>
      <c r="AE223" s="567">
        <v>0</v>
      </c>
      <c r="AF223" s="578"/>
      <c r="AG223" s="578"/>
      <c r="AH223" s="567">
        <v>0</v>
      </c>
    </row>
    <row r="224" spans="1:36" ht="14">
      <c r="A224" s="518" t="s">
        <v>1266</v>
      </c>
      <c r="B224" s="515">
        <f t="shared" si="63"/>
        <v>0</v>
      </c>
      <c r="C224" s="516"/>
      <c r="D224" s="515">
        <f t="shared" si="64"/>
        <v>0</v>
      </c>
      <c r="E224" s="516"/>
      <c r="F224" s="515">
        <f t="shared" si="65"/>
        <v>0</v>
      </c>
      <c r="G224" s="516"/>
      <c r="H224" s="515">
        <f t="shared" si="66"/>
        <v>0</v>
      </c>
      <c r="I224" s="516"/>
      <c r="J224" s="515">
        <f t="shared" si="67"/>
        <v>0</v>
      </c>
      <c r="K224" s="516"/>
      <c r="L224" s="515">
        <f t="shared" si="68"/>
        <v>0</v>
      </c>
      <c r="M224" s="516"/>
      <c r="P224" s="568" t="s">
        <v>1266</v>
      </c>
      <c r="Q224" s="578"/>
      <c r="R224" s="578"/>
      <c r="S224" s="567">
        <v>0</v>
      </c>
      <c r="T224" s="578"/>
      <c r="U224" s="578"/>
      <c r="V224" s="567">
        <v>0</v>
      </c>
      <c r="W224" s="578"/>
      <c r="X224" s="578"/>
      <c r="Y224" s="567">
        <v>0</v>
      </c>
      <c r="Z224" s="578"/>
      <c r="AA224" s="578"/>
      <c r="AB224" s="567">
        <v>0</v>
      </c>
      <c r="AC224" s="578"/>
      <c r="AD224" s="578"/>
      <c r="AE224" s="567">
        <v>0</v>
      </c>
      <c r="AF224" s="578"/>
      <c r="AG224" s="578"/>
      <c r="AH224" s="567">
        <v>0</v>
      </c>
    </row>
    <row r="225" spans="1:35" ht="14">
      <c r="A225" s="518" t="s">
        <v>1267</v>
      </c>
      <c r="B225" s="515">
        <f t="shared" si="63"/>
        <v>0</v>
      </c>
      <c r="C225" s="516"/>
      <c r="D225" s="515">
        <f t="shared" si="64"/>
        <v>0</v>
      </c>
      <c r="E225" s="516"/>
      <c r="F225" s="515">
        <f t="shared" si="65"/>
        <v>0</v>
      </c>
      <c r="G225" s="516"/>
      <c r="H225" s="515">
        <f t="shared" si="66"/>
        <v>0</v>
      </c>
      <c r="I225" s="516"/>
      <c r="J225" s="515">
        <f t="shared" si="67"/>
        <v>0</v>
      </c>
      <c r="K225" s="516"/>
      <c r="L225" s="515">
        <f t="shared" si="68"/>
        <v>0</v>
      </c>
      <c r="M225" s="516"/>
      <c r="P225" s="568" t="s">
        <v>1267</v>
      </c>
      <c r="Q225" s="578"/>
      <c r="R225" s="578"/>
      <c r="S225" s="567">
        <v>0</v>
      </c>
      <c r="T225" s="578"/>
      <c r="U225" s="578"/>
      <c r="V225" s="567">
        <v>0</v>
      </c>
      <c r="W225" s="578"/>
      <c r="X225" s="578"/>
      <c r="Y225" s="567">
        <v>0</v>
      </c>
      <c r="Z225" s="578"/>
      <c r="AA225" s="578"/>
      <c r="AB225" s="567">
        <v>0</v>
      </c>
      <c r="AC225" s="578"/>
      <c r="AD225" s="578"/>
      <c r="AE225" s="567">
        <v>0</v>
      </c>
      <c r="AF225" s="578"/>
      <c r="AG225" s="578"/>
      <c r="AH225" s="567">
        <v>0</v>
      </c>
    </row>
    <row r="226" spans="1:35" ht="14">
      <c r="A226" s="520" t="s">
        <v>1268</v>
      </c>
      <c r="B226" s="515">
        <f t="shared" si="63"/>
        <v>0</v>
      </c>
      <c r="C226" s="516"/>
      <c r="D226" s="515">
        <f t="shared" si="64"/>
        <v>0</v>
      </c>
      <c r="E226" s="516"/>
      <c r="F226" s="515">
        <f t="shared" si="65"/>
        <v>0</v>
      </c>
      <c r="G226" s="516"/>
      <c r="H226" s="515">
        <f t="shared" si="66"/>
        <v>0</v>
      </c>
      <c r="I226" s="516"/>
      <c r="J226" s="515">
        <f t="shared" si="67"/>
        <v>0</v>
      </c>
      <c r="K226" s="516"/>
      <c r="L226" s="515">
        <f t="shared" si="68"/>
        <v>0</v>
      </c>
      <c r="M226" s="516"/>
      <c r="P226" s="99" t="s">
        <v>1268</v>
      </c>
      <c r="Q226" s="578"/>
      <c r="R226" s="578"/>
      <c r="S226" s="567">
        <v>16619</v>
      </c>
      <c r="T226" s="578"/>
      <c r="U226" s="578"/>
      <c r="V226" s="567">
        <v>618791</v>
      </c>
      <c r="W226" s="578"/>
      <c r="X226" s="578"/>
      <c r="Y226" s="567">
        <v>0</v>
      </c>
      <c r="Z226" s="578"/>
      <c r="AA226" s="578"/>
      <c r="AB226" s="567">
        <v>0</v>
      </c>
      <c r="AC226" s="578"/>
      <c r="AD226" s="578"/>
      <c r="AE226" s="567">
        <v>5000</v>
      </c>
      <c r="AF226" s="578"/>
      <c r="AG226" s="578"/>
      <c r="AH226" s="567">
        <v>0</v>
      </c>
    </row>
    <row r="227" spans="1:35" ht="14">
      <c r="A227" s="520" t="s">
        <v>1269</v>
      </c>
      <c r="B227" s="515">
        <f t="shared" si="63"/>
        <v>0</v>
      </c>
      <c r="C227" s="516"/>
      <c r="D227" s="515">
        <f t="shared" si="64"/>
        <v>0</v>
      </c>
      <c r="E227" s="516"/>
      <c r="F227" s="515">
        <f t="shared" si="65"/>
        <v>0</v>
      </c>
      <c r="G227" s="516"/>
      <c r="H227" s="515">
        <f t="shared" si="66"/>
        <v>0</v>
      </c>
      <c r="I227" s="516"/>
      <c r="J227" s="515">
        <f t="shared" si="67"/>
        <v>0</v>
      </c>
      <c r="K227" s="516"/>
      <c r="L227" s="515">
        <f t="shared" si="68"/>
        <v>0</v>
      </c>
      <c r="M227" s="516"/>
      <c r="P227" s="99" t="s">
        <v>1269</v>
      </c>
      <c r="Q227" s="578"/>
      <c r="R227" s="578"/>
      <c r="S227" s="567">
        <v>0</v>
      </c>
      <c r="T227" s="578"/>
      <c r="U227" s="578"/>
      <c r="V227" s="567">
        <v>0</v>
      </c>
      <c r="W227" s="578"/>
      <c r="X227" s="578"/>
      <c r="Y227" s="567">
        <v>0</v>
      </c>
      <c r="Z227" s="578"/>
      <c r="AA227" s="578"/>
      <c r="AB227" s="567">
        <v>0</v>
      </c>
      <c r="AC227" s="578"/>
      <c r="AD227" s="578"/>
      <c r="AE227" s="567">
        <v>0</v>
      </c>
      <c r="AF227" s="578"/>
      <c r="AG227" s="578"/>
      <c r="AH227" s="567">
        <v>0</v>
      </c>
    </row>
    <row r="228" spans="1:35" ht="14">
      <c r="A228" s="518" t="s">
        <v>1270</v>
      </c>
      <c r="B228" s="515">
        <f t="shared" si="63"/>
        <v>0</v>
      </c>
      <c r="C228" s="516"/>
      <c r="D228" s="515">
        <f t="shared" si="64"/>
        <v>0</v>
      </c>
      <c r="E228" s="516"/>
      <c r="F228" s="515">
        <f t="shared" si="65"/>
        <v>0</v>
      </c>
      <c r="G228" s="516"/>
      <c r="H228" s="515">
        <f t="shared" si="66"/>
        <v>0</v>
      </c>
      <c r="I228" s="516"/>
      <c r="J228" s="515">
        <f t="shared" si="67"/>
        <v>0</v>
      </c>
      <c r="K228" s="516"/>
      <c r="L228" s="515">
        <f t="shared" si="68"/>
        <v>0</v>
      </c>
      <c r="M228" s="516"/>
      <c r="P228" s="568" t="s">
        <v>1270</v>
      </c>
      <c r="Q228" s="578"/>
      <c r="R228" s="578"/>
      <c r="S228" s="567">
        <v>0</v>
      </c>
      <c r="T228" s="578"/>
      <c r="U228" s="578"/>
      <c r="V228" s="567">
        <v>0</v>
      </c>
      <c r="W228" s="578"/>
      <c r="X228" s="578"/>
      <c r="Y228" s="567">
        <v>0</v>
      </c>
      <c r="Z228" s="578"/>
      <c r="AA228" s="578"/>
      <c r="AB228" s="567">
        <v>0</v>
      </c>
      <c r="AC228" s="578"/>
      <c r="AD228" s="578"/>
      <c r="AE228" s="567">
        <v>0</v>
      </c>
      <c r="AF228" s="578"/>
      <c r="AG228" s="578"/>
      <c r="AH228" s="567">
        <v>0</v>
      </c>
    </row>
    <row r="229" spans="1:35" ht="14">
      <c r="A229" s="518" t="s">
        <v>1271</v>
      </c>
      <c r="B229" s="515">
        <f t="shared" si="63"/>
        <v>3450164.9670204818</v>
      </c>
      <c r="C229" s="516"/>
      <c r="D229" s="515">
        <f t="shared" si="64"/>
        <v>1794358.3668564779</v>
      </c>
      <c r="E229" s="516"/>
      <c r="F229" s="515">
        <f t="shared" si="65"/>
        <v>0</v>
      </c>
      <c r="G229" s="516"/>
      <c r="H229" s="515">
        <f t="shared" si="66"/>
        <v>423317.31164018012</v>
      </c>
      <c r="I229" s="516"/>
      <c r="J229" s="515">
        <f t="shared" si="67"/>
        <v>555101.556599034</v>
      </c>
      <c r="K229" s="516"/>
      <c r="L229" s="515">
        <f t="shared" si="68"/>
        <v>0</v>
      </c>
      <c r="M229" s="516"/>
      <c r="P229" s="568" t="s">
        <v>1271</v>
      </c>
      <c r="Q229" s="578"/>
      <c r="R229" s="578"/>
      <c r="S229" s="567">
        <v>293142</v>
      </c>
      <c r="T229" s="578"/>
      <c r="U229" s="578"/>
      <c r="V229" s="567">
        <v>152457</v>
      </c>
      <c r="W229" s="578"/>
      <c r="X229" s="578"/>
      <c r="Y229" s="567">
        <v>0</v>
      </c>
      <c r="Z229" s="578"/>
      <c r="AA229" s="578"/>
      <c r="AB229" s="567">
        <v>35967</v>
      </c>
      <c r="AC229" s="578"/>
      <c r="AD229" s="578"/>
      <c r="AE229" s="567">
        <v>47164</v>
      </c>
      <c r="AF229" s="578"/>
      <c r="AG229" s="578"/>
      <c r="AH229" s="567">
        <v>0</v>
      </c>
    </row>
    <row r="230" spans="1:35" ht="14">
      <c r="A230" s="518" t="s">
        <v>1272</v>
      </c>
      <c r="B230" s="515">
        <f t="shared" si="63"/>
        <v>0</v>
      </c>
      <c r="C230" s="516"/>
      <c r="D230" s="515">
        <f t="shared" si="64"/>
        <v>0</v>
      </c>
      <c r="E230" s="516"/>
      <c r="F230" s="515">
        <f t="shared" si="65"/>
        <v>0</v>
      </c>
      <c r="G230" s="516"/>
      <c r="H230" s="515">
        <f t="shared" si="66"/>
        <v>0</v>
      </c>
      <c r="I230" s="516"/>
      <c r="J230" s="515">
        <f t="shared" si="67"/>
        <v>0</v>
      </c>
      <c r="K230" s="516"/>
      <c r="L230" s="515">
        <f t="shared" si="68"/>
        <v>0</v>
      </c>
      <c r="M230" s="516"/>
      <c r="P230" s="568" t="s">
        <v>1272</v>
      </c>
      <c r="Q230" s="578"/>
      <c r="R230" s="578"/>
      <c r="S230" s="567">
        <v>0</v>
      </c>
      <c r="T230" s="578"/>
      <c r="U230" s="578"/>
      <c r="V230" s="567">
        <v>0</v>
      </c>
      <c r="W230" s="578"/>
      <c r="X230" s="578"/>
      <c r="Y230" s="567">
        <v>0</v>
      </c>
      <c r="Z230" s="578"/>
      <c r="AA230" s="578"/>
      <c r="AB230" s="567">
        <v>0</v>
      </c>
      <c r="AC230" s="578"/>
      <c r="AD230" s="578"/>
      <c r="AE230" s="567">
        <v>0</v>
      </c>
      <c r="AF230" s="578"/>
      <c r="AG230" s="578"/>
      <c r="AH230" s="567">
        <v>0</v>
      </c>
    </row>
    <row r="231" spans="1:35" ht="14">
      <c r="A231" s="518" t="s">
        <v>1273</v>
      </c>
      <c r="B231" s="515">
        <f t="shared" si="63"/>
        <v>0</v>
      </c>
      <c r="C231" s="516"/>
      <c r="D231" s="515">
        <f t="shared" si="64"/>
        <v>0</v>
      </c>
      <c r="E231" s="516"/>
      <c r="F231" s="515">
        <f t="shared" si="65"/>
        <v>0</v>
      </c>
      <c r="G231" s="516"/>
      <c r="H231" s="515">
        <f t="shared" si="66"/>
        <v>0</v>
      </c>
      <c r="I231" s="516"/>
      <c r="J231" s="515">
        <f t="shared" si="67"/>
        <v>0</v>
      </c>
      <c r="K231" s="516"/>
      <c r="L231" s="515">
        <f t="shared" si="68"/>
        <v>0</v>
      </c>
      <c r="M231" s="516"/>
      <c r="P231" s="568" t="s">
        <v>1273</v>
      </c>
      <c r="Q231" s="578"/>
      <c r="R231" s="578"/>
      <c r="S231" s="567">
        <v>0</v>
      </c>
      <c r="T231" s="578"/>
      <c r="U231" s="578"/>
      <c r="V231" s="567">
        <v>0</v>
      </c>
      <c r="W231" s="578"/>
      <c r="X231" s="578"/>
      <c r="Y231" s="567">
        <v>0</v>
      </c>
      <c r="Z231" s="578"/>
      <c r="AA231" s="578"/>
      <c r="AB231" s="567">
        <v>0</v>
      </c>
      <c r="AC231" s="578"/>
      <c r="AD231" s="578"/>
      <c r="AE231" s="567">
        <v>0</v>
      </c>
      <c r="AF231" s="578"/>
      <c r="AG231" s="578"/>
      <c r="AH231" s="567">
        <v>0</v>
      </c>
    </row>
    <row r="232" spans="1:35" ht="14">
      <c r="A232" s="518" t="s">
        <v>1274</v>
      </c>
      <c r="B232" s="515">
        <f t="shared" si="63"/>
        <v>0</v>
      </c>
      <c r="C232" s="516"/>
      <c r="D232" s="515">
        <f t="shared" si="64"/>
        <v>0</v>
      </c>
      <c r="E232" s="516"/>
      <c r="F232" s="515">
        <f t="shared" si="65"/>
        <v>0</v>
      </c>
      <c r="G232" s="516"/>
      <c r="H232" s="515">
        <f t="shared" si="66"/>
        <v>0</v>
      </c>
      <c r="I232" s="516"/>
      <c r="J232" s="515">
        <f t="shared" si="67"/>
        <v>0</v>
      </c>
      <c r="K232" s="516"/>
      <c r="L232" s="515">
        <f t="shared" si="68"/>
        <v>0</v>
      </c>
      <c r="M232" s="516"/>
      <c r="P232" s="568" t="s">
        <v>1274</v>
      </c>
      <c r="Q232" s="578"/>
      <c r="R232" s="578"/>
      <c r="S232" s="567">
        <v>0</v>
      </c>
      <c r="T232" s="578"/>
      <c r="U232" s="578"/>
      <c r="V232" s="567">
        <v>0</v>
      </c>
      <c r="W232" s="578"/>
      <c r="X232" s="578"/>
      <c r="Y232" s="567">
        <v>0</v>
      </c>
      <c r="Z232" s="578"/>
      <c r="AA232" s="578"/>
      <c r="AB232" s="567">
        <v>0</v>
      </c>
      <c r="AC232" s="578"/>
      <c r="AD232" s="578"/>
      <c r="AE232" s="567">
        <v>0</v>
      </c>
      <c r="AF232" s="578"/>
      <c r="AG232" s="578"/>
      <c r="AH232" s="567">
        <v>0</v>
      </c>
    </row>
    <row r="233" spans="1:35" ht="14">
      <c r="A233" s="518" t="s">
        <v>1275</v>
      </c>
      <c r="B233" s="515">
        <f t="shared" si="63"/>
        <v>0</v>
      </c>
      <c r="C233" s="516"/>
      <c r="D233" s="515">
        <f t="shared" si="64"/>
        <v>0</v>
      </c>
      <c r="E233" s="516"/>
      <c r="F233" s="515">
        <f t="shared" si="65"/>
        <v>0</v>
      </c>
      <c r="G233" s="516"/>
      <c r="H233" s="515">
        <f t="shared" si="66"/>
        <v>0</v>
      </c>
      <c r="I233" s="516"/>
      <c r="J233" s="515">
        <f t="shared" si="67"/>
        <v>0</v>
      </c>
      <c r="K233" s="516"/>
      <c r="L233" s="515">
        <f t="shared" si="68"/>
        <v>0</v>
      </c>
      <c r="M233" s="516"/>
      <c r="P233" s="568" t="s">
        <v>1275</v>
      </c>
      <c r="Q233" s="578"/>
      <c r="R233" s="578"/>
      <c r="S233" s="567">
        <v>0</v>
      </c>
      <c r="T233" s="578"/>
      <c r="U233" s="578"/>
      <c r="V233" s="567">
        <v>0</v>
      </c>
      <c r="W233" s="578"/>
      <c r="X233" s="578"/>
      <c r="Y233" s="567">
        <v>0</v>
      </c>
      <c r="Z233" s="578"/>
      <c r="AA233" s="578"/>
      <c r="AB233" s="567">
        <v>0</v>
      </c>
      <c r="AC233" s="578"/>
      <c r="AD233" s="578"/>
      <c r="AE233" s="567">
        <v>0</v>
      </c>
      <c r="AF233" s="578"/>
      <c r="AG233" s="578"/>
      <c r="AH233" s="567">
        <v>0</v>
      </c>
    </row>
    <row r="234" spans="1:35" ht="14">
      <c r="A234" s="99" t="s">
        <v>1276</v>
      </c>
      <c r="B234" s="515">
        <f t="shared" si="63"/>
        <v>0</v>
      </c>
      <c r="C234" s="516"/>
      <c r="D234" s="515">
        <f t="shared" si="64"/>
        <v>0</v>
      </c>
      <c r="E234" s="516"/>
      <c r="F234" s="515">
        <f t="shared" si="65"/>
        <v>0</v>
      </c>
      <c r="G234" s="516"/>
      <c r="H234" s="515">
        <f t="shared" si="66"/>
        <v>0</v>
      </c>
      <c r="I234" s="516"/>
      <c r="J234" s="515">
        <f t="shared" si="67"/>
        <v>0</v>
      </c>
      <c r="K234" s="516"/>
      <c r="L234" s="515">
        <f t="shared" si="68"/>
        <v>0</v>
      </c>
      <c r="M234" s="516"/>
      <c r="P234" s="99" t="s">
        <v>1276</v>
      </c>
      <c r="Q234" s="578"/>
      <c r="R234" s="578"/>
      <c r="S234" s="567">
        <v>0</v>
      </c>
      <c r="T234" s="578"/>
      <c r="U234" s="578"/>
      <c r="V234" s="567">
        <v>0</v>
      </c>
      <c r="W234" s="578"/>
      <c r="X234" s="578"/>
      <c r="Y234" s="567">
        <v>0</v>
      </c>
      <c r="Z234" s="578"/>
      <c r="AA234" s="578"/>
      <c r="AB234" s="567">
        <v>0</v>
      </c>
      <c r="AC234" s="578"/>
      <c r="AD234" s="578"/>
      <c r="AE234" s="567">
        <v>0</v>
      </c>
      <c r="AF234" s="578"/>
      <c r="AG234" s="578"/>
      <c r="AH234" s="567">
        <v>0</v>
      </c>
    </row>
    <row r="235" spans="1:35" ht="14">
      <c r="A235" s="518" t="s">
        <v>1277</v>
      </c>
      <c r="B235" s="515">
        <f t="shared" si="63"/>
        <v>0</v>
      </c>
      <c r="C235" s="516"/>
      <c r="D235" s="515">
        <f t="shared" si="64"/>
        <v>0</v>
      </c>
      <c r="E235" s="516"/>
      <c r="F235" s="515">
        <f t="shared" si="65"/>
        <v>0</v>
      </c>
      <c r="G235" s="516"/>
      <c r="H235" s="515">
        <f t="shared" si="66"/>
        <v>0</v>
      </c>
      <c r="I235" s="516"/>
      <c r="J235" s="515">
        <f t="shared" si="67"/>
        <v>0</v>
      </c>
      <c r="K235" s="516"/>
      <c r="L235" s="515">
        <f t="shared" si="68"/>
        <v>0</v>
      </c>
      <c r="M235" s="516"/>
      <c r="P235" s="568" t="s">
        <v>1277</v>
      </c>
      <c r="Q235" s="578"/>
      <c r="R235" s="578"/>
      <c r="S235" s="567">
        <v>0</v>
      </c>
      <c r="T235" s="578"/>
      <c r="U235" s="578"/>
      <c r="V235" s="567">
        <v>0</v>
      </c>
      <c r="W235" s="578"/>
      <c r="X235" s="578"/>
      <c r="Y235" s="567">
        <v>0</v>
      </c>
      <c r="Z235" s="578"/>
      <c r="AA235" s="578"/>
      <c r="AB235" s="567">
        <v>0</v>
      </c>
      <c r="AC235" s="578"/>
      <c r="AD235" s="578"/>
      <c r="AE235" s="567">
        <v>0</v>
      </c>
      <c r="AF235" s="578"/>
      <c r="AG235" s="578"/>
      <c r="AH235" s="567">
        <v>0</v>
      </c>
    </row>
    <row r="236" spans="1:35" ht="14">
      <c r="A236" s="518" t="s">
        <v>1278</v>
      </c>
      <c r="B236" s="515">
        <f t="shared" si="63"/>
        <v>0</v>
      </c>
      <c r="C236" s="516"/>
      <c r="D236" s="515">
        <f t="shared" si="64"/>
        <v>0</v>
      </c>
      <c r="E236" s="516"/>
      <c r="F236" s="515">
        <f t="shared" si="65"/>
        <v>0</v>
      </c>
      <c r="G236" s="516"/>
      <c r="H236" s="515">
        <f t="shared" si="66"/>
        <v>0</v>
      </c>
      <c r="I236" s="516"/>
      <c r="J236" s="515">
        <f t="shared" si="67"/>
        <v>0</v>
      </c>
      <c r="K236" s="516"/>
      <c r="L236" s="515">
        <f t="shared" si="68"/>
        <v>0</v>
      </c>
      <c r="M236" s="516"/>
      <c r="P236" s="568" t="s">
        <v>1278</v>
      </c>
      <c r="Q236" s="578"/>
      <c r="R236" s="578"/>
      <c r="S236" s="567">
        <v>751356</v>
      </c>
      <c r="T236" s="578"/>
      <c r="U236" s="578"/>
      <c r="V236" s="567">
        <v>1187968</v>
      </c>
      <c r="W236" s="578"/>
      <c r="X236" s="578"/>
      <c r="Y236" s="567">
        <v>0</v>
      </c>
      <c r="Z236" s="578"/>
      <c r="AA236" s="578"/>
      <c r="AB236" s="567">
        <v>129876</v>
      </c>
      <c r="AC236" s="578"/>
      <c r="AD236" s="578"/>
      <c r="AE236" s="567">
        <v>202854</v>
      </c>
      <c r="AF236" s="578"/>
      <c r="AG236" s="578"/>
      <c r="AH236" s="567">
        <v>0</v>
      </c>
    </row>
    <row r="237" spans="1:35" ht="14.5" thickBot="1">
      <c r="A237" s="530" t="s">
        <v>1279</v>
      </c>
      <c r="B237" s="515">
        <f t="shared" si="63"/>
        <v>0</v>
      </c>
      <c r="C237" s="516"/>
      <c r="D237" s="515">
        <f t="shared" si="64"/>
        <v>0</v>
      </c>
      <c r="E237" s="516"/>
      <c r="F237" s="515">
        <f t="shared" si="65"/>
        <v>0</v>
      </c>
      <c r="G237" s="516"/>
      <c r="H237" s="515">
        <f t="shared" si="66"/>
        <v>0</v>
      </c>
      <c r="I237" s="516"/>
      <c r="J237" s="515">
        <f t="shared" si="67"/>
        <v>0</v>
      </c>
      <c r="K237" s="516"/>
      <c r="L237" s="515">
        <f t="shared" si="68"/>
        <v>0</v>
      </c>
      <c r="M237" s="516"/>
      <c r="P237" s="568" t="s">
        <v>1279</v>
      </c>
      <c r="Q237" s="578"/>
      <c r="R237" s="578"/>
      <c r="S237" s="567">
        <v>0</v>
      </c>
      <c r="T237" s="578"/>
      <c r="U237" s="578"/>
      <c r="V237" s="567">
        <v>0</v>
      </c>
      <c r="W237" s="578"/>
      <c r="X237" s="578"/>
      <c r="Y237" s="567">
        <v>0</v>
      </c>
      <c r="Z237" s="578"/>
      <c r="AA237" s="578"/>
      <c r="AB237" s="567">
        <v>0</v>
      </c>
      <c r="AC237" s="578"/>
      <c r="AD237" s="578"/>
      <c r="AE237" s="567">
        <v>0</v>
      </c>
      <c r="AF237" s="578"/>
      <c r="AG237" s="578"/>
      <c r="AH237" s="567">
        <v>0</v>
      </c>
    </row>
    <row r="238" spans="1:35" ht="14.5" thickBot="1">
      <c r="A238" s="530" t="s">
        <v>2303</v>
      </c>
      <c r="B238" s="515"/>
      <c r="C238" s="516"/>
      <c r="D238" s="515"/>
      <c r="E238" s="516"/>
      <c r="F238" s="515"/>
      <c r="G238" s="516"/>
      <c r="H238" s="515"/>
      <c r="I238" s="516"/>
      <c r="J238" s="515"/>
      <c r="K238" s="516"/>
      <c r="L238" s="515"/>
      <c r="M238" s="516"/>
      <c r="P238" s="579" t="s">
        <v>2292</v>
      </c>
      <c r="Q238" s="578"/>
      <c r="R238" s="578"/>
      <c r="S238" s="567">
        <v>0</v>
      </c>
      <c r="T238" s="578"/>
      <c r="U238" s="578"/>
      <c r="V238" s="567">
        <v>0</v>
      </c>
      <c r="W238" s="578"/>
      <c r="X238" s="578"/>
      <c r="Y238" s="567">
        <v>0</v>
      </c>
      <c r="Z238" s="578"/>
      <c r="AA238" s="578"/>
      <c r="AB238" s="567">
        <v>0</v>
      </c>
      <c r="AC238" s="578"/>
      <c r="AD238" s="578"/>
      <c r="AE238" s="567">
        <v>0</v>
      </c>
      <c r="AF238" s="578"/>
      <c r="AG238" s="578"/>
      <c r="AH238" s="580">
        <v>120988</v>
      </c>
      <c r="AI238" s="543">
        <v>120988</v>
      </c>
    </row>
    <row r="239" spans="1:35" ht="14">
      <c r="A239" s="523"/>
      <c r="B239" s="531"/>
      <c r="C239" s="531"/>
      <c r="D239" s="531"/>
      <c r="E239" s="531"/>
      <c r="F239" s="531"/>
      <c r="G239" s="531"/>
      <c r="H239" s="531"/>
      <c r="I239" s="531"/>
      <c r="J239" s="531"/>
      <c r="K239" s="531"/>
      <c r="L239" s="531"/>
      <c r="M239" s="531"/>
      <c r="P239" s="569" t="s">
        <v>190</v>
      </c>
      <c r="Q239" s="578"/>
      <c r="R239" s="578"/>
      <c r="S239" s="570">
        <v>1061117</v>
      </c>
      <c r="T239" s="578"/>
      <c r="U239" s="578"/>
      <c r="V239" s="570">
        <v>1959216</v>
      </c>
      <c r="W239" s="578"/>
      <c r="X239" s="578"/>
      <c r="Y239" s="570">
        <v>0</v>
      </c>
      <c r="Z239" s="578"/>
      <c r="AA239" s="578"/>
      <c r="AB239" s="570">
        <v>165843</v>
      </c>
      <c r="AC239" s="578"/>
      <c r="AD239" s="578"/>
      <c r="AE239" s="570">
        <v>255018</v>
      </c>
      <c r="AF239" s="578"/>
      <c r="AG239" s="578"/>
      <c r="AH239" s="570">
        <v>120988</v>
      </c>
      <c r="AI239" s="97">
        <f>S239+V239+Y239+AB239+AE239+AH239</f>
        <v>3562182</v>
      </c>
    </row>
    <row r="240" spans="1:35" ht="14">
      <c r="A240" s="533"/>
      <c r="B240" s="534"/>
      <c r="C240" s="534"/>
      <c r="D240" s="534"/>
      <c r="E240" s="534"/>
      <c r="I240" s="534"/>
      <c r="J240" s="534"/>
      <c r="K240" s="534"/>
      <c r="L240" s="534"/>
      <c r="M240" s="534"/>
      <c r="N240" s="534"/>
      <c r="S240" s="581"/>
      <c r="V240" s="581"/>
      <c r="Y240" s="581"/>
      <c r="AB240" s="581"/>
      <c r="AE240" s="581"/>
      <c r="AH240" s="581"/>
    </row>
    <row r="241" spans="1:41" ht="13" thickBot="1"/>
    <row r="242" spans="1:41" ht="21" customHeight="1" thickBot="1">
      <c r="A242" s="838" t="s">
        <v>2535</v>
      </c>
      <c r="B242" s="812"/>
      <c r="C242" s="812"/>
      <c r="D242" s="812"/>
      <c r="E242" s="812"/>
      <c r="F242" s="812"/>
      <c r="G242" s="812"/>
      <c r="H242" s="812"/>
      <c r="I242" s="812"/>
      <c r="J242" s="812"/>
      <c r="K242" s="812"/>
      <c r="L242" s="812"/>
      <c r="M242" s="813"/>
      <c r="N242" s="96"/>
      <c r="P242" s="544" t="s">
        <v>2523</v>
      </c>
      <c r="Q242" s="816" t="s">
        <v>2524</v>
      </c>
      <c r="R242" s="817"/>
      <c r="S242" s="817"/>
      <c r="T242" s="817"/>
      <c r="U242" s="817"/>
      <c r="V242" s="817"/>
      <c r="W242" s="817"/>
      <c r="X242" s="817"/>
      <c r="Y242" s="817"/>
      <c r="Z242" s="817"/>
      <c r="AA242" s="817"/>
      <c r="AB242" s="817"/>
      <c r="AC242" s="817"/>
      <c r="AD242" s="817"/>
      <c r="AE242" s="817"/>
      <c r="AF242" s="817"/>
      <c r="AG242" s="817"/>
      <c r="AH242" s="817"/>
      <c r="AI242" s="817"/>
      <c r="AJ242" s="817"/>
      <c r="AK242" s="817"/>
      <c r="AL242" s="817"/>
      <c r="AM242" s="817"/>
      <c r="AN242" s="818"/>
    </row>
    <row r="243" spans="1:41" ht="24" customHeight="1" thickBot="1">
      <c r="A243" s="814" t="s">
        <v>1293</v>
      </c>
      <c r="B243" s="809" t="s">
        <v>1380</v>
      </c>
      <c r="C243" s="807"/>
      <c r="D243" s="809" t="s">
        <v>1381</v>
      </c>
      <c r="E243" s="807"/>
      <c r="F243" s="809" t="s">
        <v>1382</v>
      </c>
      <c r="G243" s="807"/>
      <c r="H243" s="809" t="s">
        <v>1383</v>
      </c>
      <c r="I243" s="807"/>
      <c r="J243" s="809" t="s">
        <v>1384</v>
      </c>
      <c r="K243" s="807"/>
      <c r="L243" s="809" t="s">
        <v>1385</v>
      </c>
      <c r="M243" s="807"/>
      <c r="P243" s="545" t="s">
        <v>2509</v>
      </c>
      <c r="Q243" s="816" t="s">
        <v>226</v>
      </c>
      <c r="R243" s="817"/>
      <c r="S243" s="817"/>
      <c r="T243" s="818"/>
      <c r="U243" s="816" t="s">
        <v>206</v>
      </c>
      <c r="V243" s="817"/>
      <c r="W243" s="817"/>
      <c r="X243" s="818"/>
      <c r="Y243" s="816" t="s">
        <v>222</v>
      </c>
      <c r="Z243" s="817"/>
      <c r="AA243" s="817"/>
      <c r="AB243" s="818"/>
      <c r="AC243" s="816" t="s">
        <v>223</v>
      </c>
      <c r="AD243" s="817"/>
      <c r="AE243" s="817"/>
      <c r="AF243" s="818"/>
      <c r="AG243" s="816" t="s">
        <v>225</v>
      </c>
      <c r="AH243" s="817"/>
      <c r="AI243" s="817"/>
      <c r="AJ243" s="818"/>
      <c r="AK243" s="816" t="s">
        <v>224</v>
      </c>
      <c r="AL243" s="817"/>
      <c r="AM243" s="817"/>
      <c r="AN243" s="817"/>
      <c r="AO243" s="840"/>
    </row>
    <row r="244" spans="1:41" ht="22.5" customHeight="1" thickBot="1">
      <c r="A244" s="815"/>
      <c r="B244" s="810"/>
      <c r="C244" s="808"/>
      <c r="D244" s="810"/>
      <c r="E244" s="808"/>
      <c r="F244" s="810"/>
      <c r="G244" s="808"/>
      <c r="H244" s="810"/>
      <c r="I244" s="808"/>
      <c r="J244" s="810"/>
      <c r="K244" s="808"/>
      <c r="L244" s="810"/>
      <c r="M244" s="808"/>
      <c r="P244" s="582" t="s">
        <v>1379</v>
      </c>
      <c r="Q244" s="154" t="s">
        <v>2525</v>
      </c>
      <c r="R244" s="48" t="s">
        <v>2526</v>
      </c>
      <c r="S244" s="155" t="s">
        <v>2527</v>
      </c>
      <c r="T244" s="48" t="s">
        <v>2528</v>
      </c>
      <c r="U244" s="154" t="s">
        <v>2525</v>
      </c>
      <c r="V244" s="48" t="s">
        <v>2526</v>
      </c>
      <c r="W244" s="155" t="s">
        <v>2527</v>
      </c>
      <c r="X244" s="48" t="s">
        <v>2528</v>
      </c>
      <c r="Y244" s="154" t="s">
        <v>2525</v>
      </c>
      <c r="Z244" s="48" t="s">
        <v>2526</v>
      </c>
      <c r="AA244" s="155" t="s">
        <v>2527</v>
      </c>
      <c r="AB244" s="48" t="s">
        <v>2528</v>
      </c>
      <c r="AC244" s="154" t="s">
        <v>2525</v>
      </c>
      <c r="AD244" s="48" t="s">
        <v>2526</v>
      </c>
      <c r="AE244" s="155" t="s">
        <v>2527</v>
      </c>
      <c r="AF244" s="48" t="s">
        <v>2528</v>
      </c>
      <c r="AG244" s="154" t="s">
        <v>2525</v>
      </c>
      <c r="AH244" s="48" t="s">
        <v>2526</v>
      </c>
      <c r="AI244" s="155" t="s">
        <v>2527</v>
      </c>
      <c r="AJ244" s="48" t="s">
        <v>2528</v>
      </c>
      <c r="AK244" s="154" t="s">
        <v>2525</v>
      </c>
      <c r="AL244" s="48" t="s">
        <v>2526</v>
      </c>
      <c r="AM244" s="155" t="s">
        <v>2527</v>
      </c>
      <c r="AN244" s="156" t="s">
        <v>2528</v>
      </c>
      <c r="AO244" s="840"/>
    </row>
    <row r="245" spans="1:41" ht="14">
      <c r="A245" s="98" t="s">
        <v>2285</v>
      </c>
      <c r="B245" s="515">
        <f t="shared" ref="B245:B263" si="69">$T245*$I36</f>
        <v>0</v>
      </c>
      <c r="C245" s="516"/>
      <c r="D245" s="515">
        <f t="shared" ref="D245:D263" si="70">$X245*$I36</f>
        <v>0</v>
      </c>
      <c r="E245" s="516"/>
      <c r="F245" s="515">
        <f t="shared" ref="F245:F263" si="71">AB245*$I36</f>
        <v>0</v>
      </c>
      <c r="G245" s="516"/>
      <c r="H245" s="515">
        <f t="shared" ref="H245:H263" si="72">AF245*$I36</f>
        <v>0</v>
      </c>
      <c r="I245" s="516"/>
      <c r="J245" s="515">
        <f t="shared" ref="J245:J263" si="73">AJ245*$I36</f>
        <v>0</v>
      </c>
      <c r="K245" s="516"/>
      <c r="L245" s="515">
        <f t="shared" ref="L245:L263" si="74">AN245*$I36</f>
        <v>0</v>
      </c>
      <c r="M245" s="546"/>
      <c r="P245" s="99" t="s">
        <v>2285</v>
      </c>
      <c r="Q245" s="567">
        <v>0</v>
      </c>
      <c r="R245" s="567">
        <v>0</v>
      </c>
      <c r="S245" s="567">
        <v>0</v>
      </c>
      <c r="T245" s="567">
        <v>0</v>
      </c>
      <c r="U245" s="567">
        <v>0</v>
      </c>
      <c r="V245" s="567">
        <v>0</v>
      </c>
      <c r="W245" s="567">
        <v>0</v>
      </c>
      <c r="X245" s="567">
        <v>0</v>
      </c>
      <c r="Y245" s="567">
        <v>0</v>
      </c>
      <c r="Z245" s="567">
        <v>0</v>
      </c>
      <c r="AA245" s="567">
        <v>0</v>
      </c>
      <c r="AB245" s="567">
        <v>0</v>
      </c>
      <c r="AC245" s="567">
        <v>0</v>
      </c>
      <c r="AD245" s="567">
        <v>0</v>
      </c>
      <c r="AE245" s="567">
        <v>0</v>
      </c>
      <c r="AF245" s="567">
        <v>0</v>
      </c>
      <c r="AG245" s="567">
        <v>0</v>
      </c>
      <c r="AH245" s="567">
        <v>0</v>
      </c>
      <c r="AI245" s="567">
        <v>0</v>
      </c>
      <c r="AJ245" s="567">
        <v>0</v>
      </c>
      <c r="AK245" s="567">
        <v>0</v>
      </c>
      <c r="AL245" s="567">
        <v>0</v>
      </c>
      <c r="AM245" s="567">
        <v>0</v>
      </c>
      <c r="AN245" s="583">
        <v>0</v>
      </c>
      <c r="AO245" s="584"/>
    </row>
    <row r="246" spans="1:41" ht="14">
      <c r="A246" s="518" t="s">
        <v>1262</v>
      </c>
      <c r="B246" s="515">
        <f t="shared" si="69"/>
        <v>0</v>
      </c>
      <c r="C246" s="516"/>
      <c r="D246" s="515">
        <f t="shared" si="70"/>
        <v>0</v>
      </c>
      <c r="E246" s="516"/>
      <c r="F246" s="515">
        <f t="shared" si="71"/>
        <v>0</v>
      </c>
      <c r="G246" s="516"/>
      <c r="H246" s="515">
        <f t="shared" si="72"/>
        <v>0</v>
      </c>
      <c r="I246" s="516"/>
      <c r="J246" s="515">
        <f t="shared" si="73"/>
        <v>0</v>
      </c>
      <c r="K246" s="516"/>
      <c r="L246" s="515">
        <f t="shared" si="74"/>
        <v>0</v>
      </c>
      <c r="M246" s="516"/>
      <c r="P246" s="568" t="s">
        <v>1262</v>
      </c>
      <c r="Q246" s="567">
        <v>0</v>
      </c>
      <c r="R246" s="567">
        <v>0</v>
      </c>
      <c r="S246" s="567">
        <v>0</v>
      </c>
      <c r="T246" s="567">
        <v>0</v>
      </c>
      <c r="U246" s="567">
        <v>0</v>
      </c>
      <c r="V246" s="567">
        <v>0</v>
      </c>
      <c r="W246" s="567">
        <v>0</v>
      </c>
      <c r="X246" s="567">
        <v>0</v>
      </c>
      <c r="Y246" s="567">
        <v>0</v>
      </c>
      <c r="Z246" s="567">
        <v>0</v>
      </c>
      <c r="AA246" s="567">
        <v>0</v>
      </c>
      <c r="AB246" s="567">
        <v>0</v>
      </c>
      <c r="AC246" s="567">
        <v>0</v>
      </c>
      <c r="AD246" s="567">
        <v>0</v>
      </c>
      <c r="AE246" s="567">
        <v>0</v>
      </c>
      <c r="AF246" s="567">
        <v>0</v>
      </c>
      <c r="AG246" s="567">
        <v>0</v>
      </c>
      <c r="AH246" s="567">
        <v>0</v>
      </c>
      <c r="AI246" s="567">
        <v>0</v>
      </c>
      <c r="AJ246" s="567">
        <v>0</v>
      </c>
      <c r="AK246" s="567">
        <v>0</v>
      </c>
      <c r="AL246" s="567">
        <v>0</v>
      </c>
      <c r="AM246" s="567">
        <v>0</v>
      </c>
      <c r="AN246" s="583">
        <v>0</v>
      </c>
      <c r="AO246" s="584"/>
    </row>
    <row r="247" spans="1:41" ht="14">
      <c r="A247" s="518" t="s">
        <v>1263</v>
      </c>
      <c r="B247" s="515">
        <f t="shared" si="69"/>
        <v>0</v>
      </c>
      <c r="C247" s="516"/>
      <c r="D247" s="515">
        <f t="shared" si="70"/>
        <v>0</v>
      </c>
      <c r="E247" s="516"/>
      <c r="F247" s="515">
        <f t="shared" si="71"/>
        <v>0</v>
      </c>
      <c r="G247" s="516"/>
      <c r="H247" s="515">
        <f t="shared" si="72"/>
        <v>0</v>
      </c>
      <c r="I247" s="516"/>
      <c r="J247" s="515">
        <f t="shared" si="73"/>
        <v>0</v>
      </c>
      <c r="K247" s="516"/>
      <c r="L247" s="515">
        <f t="shared" si="74"/>
        <v>0</v>
      </c>
      <c r="M247" s="516"/>
      <c r="P247" s="568" t="s">
        <v>1263</v>
      </c>
      <c r="Q247" s="567">
        <v>0</v>
      </c>
      <c r="R247" s="567">
        <v>0</v>
      </c>
      <c r="S247" s="567">
        <v>0</v>
      </c>
      <c r="T247" s="567">
        <v>0</v>
      </c>
      <c r="U247" s="567">
        <v>0</v>
      </c>
      <c r="V247" s="567">
        <v>0</v>
      </c>
      <c r="W247" s="567">
        <v>0</v>
      </c>
      <c r="X247" s="567">
        <v>0</v>
      </c>
      <c r="Y247" s="567">
        <v>0</v>
      </c>
      <c r="Z247" s="567">
        <v>0</v>
      </c>
      <c r="AA247" s="567">
        <v>0</v>
      </c>
      <c r="AB247" s="567">
        <v>0</v>
      </c>
      <c r="AC247" s="567">
        <v>0</v>
      </c>
      <c r="AD247" s="567">
        <v>0</v>
      </c>
      <c r="AE247" s="567">
        <v>0</v>
      </c>
      <c r="AF247" s="567">
        <v>0</v>
      </c>
      <c r="AG247" s="567">
        <v>0</v>
      </c>
      <c r="AH247" s="567">
        <v>0</v>
      </c>
      <c r="AI247" s="567">
        <v>0</v>
      </c>
      <c r="AJ247" s="567">
        <v>0</v>
      </c>
      <c r="AK247" s="567">
        <v>0</v>
      </c>
      <c r="AL247" s="567">
        <v>0</v>
      </c>
      <c r="AM247" s="567">
        <v>0</v>
      </c>
      <c r="AN247" s="583">
        <v>0</v>
      </c>
      <c r="AO247" s="584"/>
    </row>
    <row r="248" spans="1:41" ht="14">
      <c r="A248" s="518" t="s">
        <v>1264</v>
      </c>
      <c r="B248" s="515">
        <f t="shared" si="69"/>
        <v>0</v>
      </c>
      <c r="C248" s="516"/>
      <c r="D248" s="515">
        <f t="shared" si="70"/>
        <v>0</v>
      </c>
      <c r="E248" s="516"/>
      <c r="F248" s="515">
        <f t="shared" si="71"/>
        <v>0</v>
      </c>
      <c r="G248" s="516"/>
      <c r="H248" s="515">
        <f t="shared" si="72"/>
        <v>0</v>
      </c>
      <c r="I248" s="516"/>
      <c r="J248" s="515">
        <f t="shared" si="73"/>
        <v>0</v>
      </c>
      <c r="K248" s="516"/>
      <c r="L248" s="515">
        <f t="shared" si="74"/>
        <v>0</v>
      </c>
      <c r="M248" s="516"/>
      <c r="P248" s="568" t="s">
        <v>1264</v>
      </c>
      <c r="Q248" s="567">
        <v>0</v>
      </c>
      <c r="R248" s="567">
        <v>0</v>
      </c>
      <c r="S248" s="567">
        <v>0</v>
      </c>
      <c r="T248" s="567">
        <v>0</v>
      </c>
      <c r="U248" s="567">
        <v>0</v>
      </c>
      <c r="V248" s="567">
        <v>0</v>
      </c>
      <c r="W248" s="567">
        <v>0</v>
      </c>
      <c r="X248" s="567">
        <v>0</v>
      </c>
      <c r="Y248" s="567">
        <v>0</v>
      </c>
      <c r="Z248" s="567">
        <v>0</v>
      </c>
      <c r="AA248" s="567">
        <v>0</v>
      </c>
      <c r="AB248" s="567">
        <v>0</v>
      </c>
      <c r="AC248" s="567">
        <v>0</v>
      </c>
      <c r="AD248" s="567">
        <v>0</v>
      </c>
      <c r="AE248" s="567">
        <v>0</v>
      </c>
      <c r="AF248" s="567">
        <v>0</v>
      </c>
      <c r="AG248" s="567">
        <v>0</v>
      </c>
      <c r="AH248" s="567">
        <v>0</v>
      </c>
      <c r="AI248" s="567">
        <v>0</v>
      </c>
      <c r="AJ248" s="567">
        <v>0</v>
      </c>
      <c r="AK248" s="567">
        <v>0</v>
      </c>
      <c r="AL248" s="567">
        <v>0</v>
      </c>
      <c r="AM248" s="567">
        <v>0</v>
      </c>
      <c r="AN248" s="583">
        <v>0</v>
      </c>
      <c r="AO248" s="584"/>
    </row>
    <row r="249" spans="1:41" ht="14">
      <c r="A249" s="518" t="s">
        <v>1265</v>
      </c>
      <c r="B249" s="515">
        <f t="shared" si="69"/>
        <v>0</v>
      </c>
      <c r="C249" s="516"/>
      <c r="D249" s="515">
        <f t="shared" si="70"/>
        <v>0</v>
      </c>
      <c r="E249" s="516"/>
      <c r="F249" s="515">
        <f t="shared" si="71"/>
        <v>0</v>
      </c>
      <c r="G249" s="516"/>
      <c r="H249" s="515">
        <f t="shared" si="72"/>
        <v>0</v>
      </c>
      <c r="I249" s="516"/>
      <c r="J249" s="515">
        <f t="shared" si="73"/>
        <v>0</v>
      </c>
      <c r="K249" s="516"/>
      <c r="L249" s="515">
        <f t="shared" si="74"/>
        <v>0</v>
      </c>
      <c r="M249" s="516"/>
      <c r="P249" s="568" t="s">
        <v>1265</v>
      </c>
      <c r="Q249" s="567">
        <v>0</v>
      </c>
      <c r="R249" s="567">
        <v>0</v>
      </c>
      <c r="S249" s="567">
        <v>0</v>
      </c>
      <c r="T249" s="567">
        <v>0</v>
      </c>
      <c r="U249" s="567">
        <v>0</v>
      </c>
      <c r="V249" s="567">
        <v>0</v>
      </c>
      <c r="W249" s="567">
        <v>0</v>
      </c>
      <c r="X249" s="567">
        <v>0</v>
      </c>
      <c r="Y249" s="567">
        <v>0</v>
      </c>
      <c r="Z249" s="567">
        <v>0</v>
      </c>
      <c r="AA249" s="567">
        <v>0</v>
      </c>
      <c r="AB249" s="567">
        <v>0</v>
      </c>
      <c r="AC249" s="567">
        <v>0</v>
      </c>
      <c r="AD249" s="567">
        <v>0</v>
      </c>
      <c r="AE249" s="567">
        <v>0</v>
      </c>
      <c r="AF249" s="567">
        <v>0</v>
      </c>
      <c r="AG249" s="567">
        <v>0</v>
      </c>
      <c r="AH249" s="567">
        <v>0</v>
      </c>
      <c r="AI249" s="567">
        <v>0</v>
      </c>
      <c r="AJ249" s="567">
        <v>0</v>
      </c>
      <c r="AK249" s="567">
        <v>0</v>
      </c>
      <c r="AL249" s="567">
        <v>0</v>
      </c>
      <c r="AM249" s="567">
        <v>0</v>
      </c>
      <c r="AN249" s="583">
        <v>0</v>
      </c>
      <c r="AO249" s="584"/>
    </row>
    <row r="250" spans="1:41" ht="14">
      <c r="A250" s="518" t="s">
        <v>1266</v>
      </c>
      <c r="B250" s="515">
        <f t="shared" si="69"/>
        <v>0</v>
      </c>
      <c r="C250" s="516"/>
      <c r="D250" s="515">
        <f t="shared" si="70"/>
        <v>0</v>
      </c>
      <c r="E250" s="516"/>
      <c r="F250" s="515">
        <f t="shared" si="71"/>
        <v>0</v>
      </c>
      <c r="G250" s="516"/>
      <c r="H250" s="515">
        <f t="shared" si="72"/>
        <v>0</v>
      </c>
      <c r="I250" s="516"/>
      <c r="J250" s="515">
        <f t="shared" si="73"/>
        <v>0</v>
      </c>
      <c r="K250" s="516"/>
      <c r="L250" s="515">
        <f t="shared" si="74"/>
        <v>0</v>
      </c>
      <c r="M250" s="516"/>
      <c r="P250" s="568" t="s">
        <v>1266</v>
      </c>
      <c r="Q250" s="567">
        <v>0</v>
      </c>
      <c r="R250" s="567">
        <v>0</v>
      </c>
      <c r="S250" s="567">
        <v>0</v>
      </c>
      <c r="T250" s="567">
        <v>0</v>
      </c>
      <c r="U250" s="567">
        <v>0</v>
      </c>
      <c r="V250" s="567">
        <v>0</v>
      </c>
      <c r="W250" s="567">
        <v>0</v>
      </c>
      <c r="X250" s="567">
        <v>0</v>
      </c>
      <c r="Y250" s="567">
        <v>0</v>
      </c>
      <c r="Z250" s="567">
        <v>0</v>
      </c>
      <c r="AA250" s="567">
        <v>0</v>
      </c>
      <c r="AB250" s="567">
        <v>0</v>
      </c>
      <c r="AC250" s="567">
        <v>0</v>
      </c>
      <c r="AD250" s="567">
        <v>0</v>
      </c>
      <c r="AE250" s="567">
        <v>0</v>
      </c>
      <c r="AF250" s="567">
        <v>0</v>
      </c>
      <c r="AG250" s="567">
        <v>0</v>
      </c>
      <c r="AH250" s="567">
        <v>0</v>
      </c>
      <c r="AI250" s="567">
        <v>0</v>
      </c>
      <c r="AJ250" s="567">
        <v>0</v>
      </c>
      <c r="AK250" s="567">
        <v>0</v>
      </c>
      <c r="AL250" s="567">
        <v>0</v>
      </c>
      <c r="AM250" s="567">
        <v>0</v>
      </c>
      <c r="AN250" s="583">
        <v>0</v>
      </c>
      <c r="AO250" s="584"/>
    </row>
    <row r="251" spans="1:41" ht="14">
      <c r="A251" s="518" t="s">
        <v>1267</v>
      </c>
      <c r="B251" s="515">
        <f t="shared" si="69"/>
        <v>0</v>
      </c>
      <c r="C251" s="516"/>
      <c r="D251" s="515">
        <f t="shared" si="70"/>
        <v>0</v>
      </c>
      <c r="E251" s="516"/>
      <c r="F251" s="515">
        <f t="shared" si="71"/>
        <v>0</v>
      </c>
      <c r="G251" s="516"/>
      <c r="H251" s="515">
        <f t="shared" si="72"/>
        <v>0</v>
      </c>
      <c r="I251" s="516"/>
      <c r="J251" s="515">
        <f t="shared" si="73"/>
        <v>0</v>
      </c>
      <c r="K251" s="516"/>
      <c r="L251" s="515">
        <f t="shared" si="74"/>
        <v>0</v>
      </c>
      <c r="M251" s="516"/>
      <c r="P251" s="568" t="s">
        <v>1267</v>
      </c>
      <c r="Q251" s="567">
        <v>0</v>
      </c>
      <c r="R251" s="567">
        <v>0</v>
      </c>
      <c r="S251" s="567">
        <v>0</v>
      </c>
      <c r="T251" s="567">
        <v>0</v>
      </c>
      <c r="U251" s="567">
        <v>0</v>
      </c>
      <c r="V251" s="567">
        <v>0</v>
      </c>
      <c r="W251" s="567">
        <v>0</v>
      </c>
      <c r="X251" s="567">
        <v>0</v>
      </c>
      <c r="Y251" s="567">
        <v>0</v>
      </c>
      <c r="Z251" s="567">
        <v>0</v>
      </c>
      <c r="AA251" s="567">
        <v>0</v>
      </c>
      <c r="AB251" s="567">
        <v>0</v>
      </c>
      <c r="AC251" s="567">
        <v>0</v>
      </c>
      <c r="AD251" s="567">
        <v>0</v>
      </c>
      <c r="AE251" s="567">
        <v>0</v>
      </c>
      <c r="AF251" s="567">
        <v>0</v>
      </c>
      <c r="AG251" s="567">
        <v>0</v>
      </c>
      <c r="AH251" s="567">
        <v>0</v>
      </c>
      <c r="AI251" s="567">
        <v>0</v>
      </c>
      <c r="AJ251" s="567">
        <v>0</v>
      </c>
      <c r="AK251" s="567">
        <v>0</v>
      </c>
      <c r="AL251" s="567">
        <v>0</v>
      </c>
      <c r="AM251" s="567">
        <v>0</v>
      </c>
      <c r="AN251" s="583">
        <v>0</v>
      </c>
      <c r="AO251" s="584"/>
    </row>
    <row r="252" spans="1:41" ht="14">
      <c r="A252" s="520" t="s">
        <v>1268</v>
      </c>
      <c r="B252" s="515">
        <f t="shared" si="69"/>
        <v>0</v>
      </c>
      <c r="C252" s="516"/>
      <c r="D252" s="515">
        <f t="shared" si="70"/>
        <v>0</v>
      </c>
      <c r="E252" s="516"/>
      <c r="F252" s="515">
        <f t="shared" si="71"/>
        <v>0</v>
      </c>
      <c r="G252" s="516"/>
      <c r="H252" s="515">
        <f t="shared" si="72"/>
        <v>0</v>
      </c>
      <c r="I252" s="516"/>
      <c r="J252" s="515">
        <f t="shared" si="73"/>
        <v>0</v>
      </c>
      <c r="K252" s="516"/>
      <c r="L252" s="515">
        <f t="shared" si="74"/>
        <v>0</v>
      </c>
      <c r="M252" s="516"/>
      <c r="P252" s="99" t="s">
        <v>1268</v>
      </c>
      <c r="Q252" s="567">
        <v>0</v>
      </c>
      <c r="R252" s="567">
        <v>0</v>
      </c>
      <c r="S252" s="567">
        <v>0</v>
      </c>
      <c r="T252" s="567">
        <v>0</v>
      </c>
      <c r="U252" s="567">
        <v>0</v>
      </c>
      <c r="V252" s="567">
        <v>0</v>
      </c>
      <c r="W252" s="567">
        <v>0</v>
      </c>
      <c r="X252" s="567">
        <v>0</v>
      </c>
      <c r="Y252" s="567">
        <v>16636</v>
      </c>
      <c r="Z252" s="567">
        <v>0</v>
      </c>
      <c r="AA252" s="567">
        <v>0</v>
      </c>
      <c r="AB252" s="567">
        <v>16636</v>
      </c>
      <c r="AC252" s="567">
        <v>0</v>
      </c>
      <c r="AD252" s="567">
        <v>0</v>
      </c>
      <c r="AE252" s="567">
        <v>0</v>
      </c>
      <c r="AF252" s="567">
        <v>0</v>
      </c>
      <c r="AG252" s="567">
        <v>0</v>
      </c>
      <c r="AH252" s="567">
        <v>0</v>
      </c>
      <c r="AI252" s="567">
        <v>0</v>
      </c>
      <c r="AJ252" s="567">
        <v>0</v>
      </c>
      <c r="AK252" s="567">
        <v>0</v>
      </c>
      <c r="AL252" s="567">
        <v>0</v>
      </c>
      <c r="AM252" s="567">
        <v>0</v>
      </c>
      <c r="AN252" s="583">
        <v>0</v>
      </c>
      <c r="AO252" s="584"/>
    </row>
    <row r="253" spans="1:41" ht="14">
      <c r="A253" s="520" t="s">
        <v>1269</v>
      </c>
      <c r="B253" s="515">
        <f t="shared" si="69"/>
        <v>0</v>
      </c>
      <c r="C253" s="516"/>
      <c r="D253" s="515">
        <f t="shared" si="70"/>
        <v>0</v>
      </c>
      <c r="E253" s="516"/>
      <c r="F253" s="515">
        <f t="shared" si="71"/>
        <v>0</v>
      </c>
      <c r="G253" s="516"/>
      <c r="H253" s="515">
        <f t="shared" si="72"/>
        <v>0</v>
      </c>
      <c r="I253" s="516"/>
      <c r="J253" s="515">
        <f t="shared" si="73"/>
        <v>0</v>
      </c>
      <c r="K253" s="516"/>
      <c r="L253" s="515">
        <f t="shared" si="74"/>
        <v>0</v>
      </c>
      <c r="M253" s="516"/>
      <c r="P253" s="99" t="s">
        <v>1269</v>
      </c>
      <c r="Q253" s="567">
        <v>0</v>
      </c>
      <c r="R253" s="567">
        <v>0</v>
      </c>
      <c r="S253" s="567">
        <v>0</v>
      </c>
      <c r="T253" s="567">
        <v>0</v>
      </c>
      <c r="U253" s="567">
        <v>0</v>
      </c>
      <c r="V253" s="567">
        <v>0</v>
      </c>
      <c r="W253" s="567">
        <v>0</v>
      </c>
      <c r="X253" s="567">
        <v>0</v>
      </c>
      <c r="Y253" s="567">
        <v>0</v>
      </c>
      <c r="Z253" s="567">
        <v>0</v>
      </c>
      <c r="AA253" s="567">
        <v>0</v>
      </c>
      <c r="AB253" s="567">
        <v>0</v>
      </c>
      <c r="AC253" s="567">
        <v>0</v>
      </c>
      <c r="AD253" s="567">
        <v>0</v>
      </c>
      <c r="AE253" s="567">
        <v>0</v>
      </c>
      <c r="AF253" s="567">
        <v>0</v>
      </c>
      <c r="AG253" s="567">
        <v>0</v>
      </c>
      <c r="AH253" s="567">
        <v>0</v>
      </c>
      <c r="AI253" s="567">
        <v>0</v>
      </c>
      <c r="AJ253" s="567">
        <v>0</v>
      </c>
      <c r="AK253" s="567">
        <v>0</v>
      </c>
      <c r="AL253" s="567">
        <v>0</v>
      </c>
      <c r="AM253" s="567">
        <v>0</v>
      </c>
      <c r="AN253" s="583">
        <v>0</v>
      </c>
      <c r="AO253" s="584"/>
    </row>
    <row r="254" spans="1:41" ht="14">
      <c r="A254" s="518" t="s">
        <v>1270</v>
      </c>
      <c r="B254" s="515">
        <f t="shared" si="69"/>
        <v>0</v>
      </c>
      <c r="C254" s="516"/>
      <c r="D254" s="515">
        <f t="shared" si="70"/>
        <v>0</v>
      </c>
      <c r="E254" s="516"/>
      <c r="F254" s="515">
        <f t="shared" si="71"/>
        <v>0</v>
      </c>
      <c r="G254" s="516"/>
      <c r="H254" s="515">
        <f t="shared" si="72"/>
        <v>0</v>
      </c>
      <c r="I254" s="516"/>
      <c r="J254" s="515">
        <f t="shared" si="73"/>
        <v>0</v>
      </c>
      <c r="K254" s="516"/>
      <c r="L254" s="515">
        <f t="shared" si="74"/>
        <v>0</v>
      </c>
      <c r="M254" s="516"/>
      <c r="P254" s="568" t="s">
        <v>1270</v>
      </c>
      <c r="Q254" s="567">
        <v>0</v>
      </c>
      <c r="R254" s="567">
        <v>0</v>
      </c>
      <c r="S254" s="567">
        <v>0</v>
      </c>
      <c r="T254" s="567">
        <v>0</v>
      </c>
      <c r="U254" s="567">
        <v>0</v>
      </c>
      <c r="V254" s="567">
        <v>0</v>
      </c>
      <c r="W254" s="567">
        <v>0</v>
      </c>
      <c r="X254" s="567">
        <v>0</v>
      </c>
      <c r="Y254" s="567">
        <v>0</v>
      </c>
      <c r="Z254" s="567">
        <v>0</v>
      </c>
      <c r="AA254" s="567">
        <v>0</v>
      </c>
      <c r="AB254" s="567">
        <v>0</v>
      </c>
      <c r="AC254" s="567">
        <v>0</v>
      </c>
      <c r="AD254" s="567">
        <v>0</v>
      </c>
      <c r="AE254" s="567">
        <v>0</v>
      </c>
      <c r="AF254" s="567">
        <v>0</v>
      </c>
      <c r="AG254" s="567">
        <v>0</v>
      </c>
      <c r="AH254" s="567">
        <v>0</v>
      </c>
      <c r="AI254" s="567">
        <v>0</v>
      </c>
      <c r="AJ254" s="567">
        <v>0</v>
      </c>
      <c r="AK254" s="567">
        <v>0</v>
      </c>
      <c r="AL254" s="567">
        <v>0</v>
      </c>
      <c r="AM254" s="567">
        <v>0</v>
      </c>
      <c r="AN254" s="583">
        <v>0</v>
      </c>
      <c r="AO254" s="584"/>
    </row>
    <row r="255" spans="1:41" ht="14">
      <c r="A255" s="518" t="s">
        <v>1271</v>
      </c>
      <c r="B255" s="515">
        <f t="shared" si="69"/>
        <v>0</v>
      </c>
      <c r="C255" s="516"/>
      <c r="D255" s="515">
        <f t="shared" si="70"/>
        <v>0</v>
      </c>
      <c r="E255" s="516"/>
      <c r="F255" s="515">
        <f t="shared" si="71"/>
        <v>0</v>
      </c>
      <c r="G255" s="516"/>
      <c r="H255" s="515">
        <f t="shared" si="72"/>
        <v>0</v>
      </c>
      <c r="I255" s="516"/>
      <c r="J255" s="515">
        <f t="shared" si="73"/>
        <v>0</v>
      </c>
      <c r="K255" s="516"/>
      <c r="L255" s="515">
        <f t="shared" si="74"/>
        <v>0</v>
      </c>
      <c r="M255" s="516"/>
      <c r="P255" s="568" t="s">
        <v>1271</v>
      </c>
      <c r="Q255" s="567">
        <v>0</v>
      </c>
      <c r="R255" s="567">
        <v>0</v>
      </c>
      <c r="S255" s="567">
        <v>0</v>
      </c>
      <c r="T255" s="567">
        <v>0</v>
      </c>
      <c r="U255" s="567">
        <v>0</v>
      </c>
      <c r="V255" s="567">
        <v>0</v>
      </c>
      <c r="W255" s="567">
        <v>0</v>
      </c>
      <c r="X255" s="567">
        <v>0</v>
      </c>
      <c r="Y255" s="567">
        <v>0</v>
      </c>
      <c r="Z255" s="567">
        <v>0</v>
      </c>
      <c r="AA255" s="567">
        <v>0</v>
      </c>
      <c r="AB255" s="567">
        <v>0</v>
      </c>
      <c r="AC255" s="567">
        <v>0</v>
      </c>
      <c r="AD255" s="567">
        <v>0</v>
      </c>
      <c r="AE255" s="567">
        <v>0</v>
      </c>
      <c r="AF255" s="567">
        <v>0</v>
      </c>
      <c r="AG255" s="567">
        <v>0</v>
      </c>
      <c r="AH255" s="567">
        <v>0</v>
      </c>
      <c r="AI255" s="567">
        <v>0</v>
      </c>
      <c r="AJ255" s="567">
        <v>0</v>
      </c>
      <c r="AK255" s="567">
        <v>0</v>
      </c>
      <c r="AL255" s="567">
        <v>0</v>
      </c>
      <c r="AM255" s="567">
        <v>0</v>
      </c>
      <c r="AN255" s="583">
        <v>0</v>
      </c>
      <c r="AO255" s="584"/>
    </row>
    <row r="256" spans="1:41" ht="14">
      <c r="A256" s="518" t="s">
        <v>1272</v>
      </c>
      <c r="B256" s="515">
        <f t="shared" si="69"/>
        <v>0</v>
      </c>
      <c r="C256" s="516"/>
      <c r="D256" s="515">
        <f t="shared" si="70"/>
        <v>0</v>
      </c>
      <c r="E256" s="516"/>
      <c r="F256" s="515">
        <f t="shared" si="71"/>
        <v>0</v>
      </c>
      <c r="G256" s="516"/>
      <c r="H256" s="515">
        <f t="shared" si="72"/>
        <v>0</v>
      </c>
      <c r="I256" s="516"/>
      <c r="J256" s="515">
        <f t="shared" si="73"/>
        <v>0</v>
      </c>
      <c r="K256" s="516"/>
      <c r="L256" s="515">
        <f t="shared" si="74"/>
        <v>0</v>
      </c>
      <c r="M256" s="516"/>
      <c r="P256" s="568" t="s">
        <v>1272</v>
      </c>
      <c r="Q256" s="567">
        <v>0</v>
      </c>
      <c r="R256" s="567">
        <v>0</v>
      </c>
      <c r="S256" s="567">
        <v>0</v>
      </c>
      <c r="T256" s="567">
        <v>0</v>
      </c>
      <c r="U256" s="567">
        <v>0</v>
      </c>
      <c r="V256" s="567">
        <v>0</v>
      </c>
      <c r="W256" s="567">
        <v>0</v>
      </c>
      <c r="X256" s="567">
        <v>0</v>
      </c>
      <c r="Y256" s="567">
        <v>0</v>
      </c>
      <c r="Z256" s="567">
        <v>0</v>
      </c>
      <c r="AA256" s="567">
        <v>0</v>
      </c>
      <c r="AB256" s="567">
        <v>0</v>
      </c>
      <c r="AC256" s="567">
        <v>0</v>
      </c>
      <c r="AD256" s="567">
        <v>0</v>
      </c>
      <c r="AE256" s="567">
        <v>0</v>
      </c>
      <c r="AF256" s="567">
        <v>0</v>
      </c>
      <c r="AG256" s="567">
        <v>0</v>
      </c>
      <c r="AH256" s="567">
        <v>0</v>
      </c>
      <c r="AI256" s="567">
        <v>0</v>
      </c>
      <c r="AJ256" s="567">
        <v>0</v>
      </c>
      <c r="AK256" s="567">
        <v>0</v>
      </c>
      <c r="AL256" s="567">
        <v>0</v>
      </c>
      <c r="AM256" s="567">
        <v>0</v>
      </c>
      <c r="AN256" s="583">
        <v>0</v>
      </c>
      <c r="AO256" s="584"/>
    </row>
    <row r="257" spans="1:41" ht="14">
      <c r="A257" s="518" t="s">
        <v>1273</v>
      </c>
      <c r="B257" s="515">
        <f t="shared" si="69"/>
        <v>0</v>
      </c>
      <c r="C257" s="516"/>
      <c r="D257" s="515">
        <f t="shared" si="70"/>
        <v>0</v>
      </c>
      <c r="E257" s="516"/>
      <c r="F257" s="515">
        <f t="shared" si="71"/>
        <v>0</v>
      </c>
      <c r="G257" s="516"/>
      <c r="H257" s="515">
        <f t="shared" si="72"/>
        <v>0</v>
      </c>
      <c r="I257" s="516"/>
      <c r="J257" s="515">
        <f t="shared" si="73"/>
        <v>0</v>
      </c>
      <c r="K257" s="516"/>
      <c r="L257" s="515">
        <f t="shared" si="74"/>
        <v>0</v>
      </c>
      <c r="M257" s="516"/>
      <c r="P257" s="568" t="s">
        <v>1273</v>
      </c>
      <c r="Q257" s="567">
        <v>0</v>
      </c>
      <c r="R257" s="567">
        <v>0</v>
      </c>
      <c r="S257" s="567">
        <v>0</v>
      </c>
      <c r="T257" s="567">
        <v>0</v>
      </c>
      <c r="U257" s="567">
        <v>0</v>
      </c>
      <c r="V257" s="567">
        <v>0</v>
      </c>
      <c r="W257" s="567">
        <v>0</v>
      </c>
      <c r="X257" s="567">
        <v>0</v>
      </c>
      <c r="Y257" s="567">
        <v>0</v>
      </c>
      <c r="Z257" s="567">
        <v>0</v>
      </c>
      <c r="AA257" s="567">
        <v>0</v>
      </c>
      <c r="AB257" s="567">
        <v>0</v>
      </c>
      <c r="AC257" s="567">
        <v>0</v>
      </c>
      <c r="AD257" s="567">
        <v>0</v>
      </c>
      <c r="AE257" s="567">
        <v>0</v>
      </c>
      <c r="AF257" s="567">
        <v>0</v>
      </c>
      <c r="AG257" s="567">
        <v>0</v>
      </c>
      <c r="AH257" s="567">
        <v>0</v>
      </c>
      <c r="AI257" s="567">
        <v>0</v>
      </c>
      <c r="AJ257" s="567">
        <v>0</v>
      </c>
      <c r="AK257" s="567">
        <v>0</v>
      </c>
      <c r="AL257" s="567">
        <v>0</v>
      </c>
      <c r="AM257" s="567">
        <v>0</v>
      </c>
      <c r="AN257" s="583">
        <v>0</v>
      </c>
      <c r="AO257" s="584"/>
    </row>
    <row r="258" spans="1:41" ht="14">
      <c r="A258" s="518" t="s">
        <v>1274</v>
      </c>
      <c r="B258" s="515">
        <f t="shared" si="69"/>
        <v>0</v>
      </c>
      <c r="C258" s="516"/>
      <c r="D258" s="515">
        <f t="shared" si="70"/>
        <v>0</v>
      </c>
      <c r="E258" s="516"/>
      <c r="F258" s="515">
        <f t="shared" si="71"/>
        <v>0</v>
      </c>
      <c r="G258" s="516"/>
      <c r="H258" s="515">
        <f t="shared" si="72"/>
        <v>0</v>
      </c>
      <c r="I258" s="516"/>
      <c r="J258" s="515">
        <f t="shared" si="73"/>
        <v>0</v>
      </c>
      <c r="K258" s="516"/>
      <c r="L258" s="515">
        <f t="shared" si="74"/>
        <v>0</v>
      </c>
      <c r="M258" s="516"/>
      <c r="P258" s="568" t="s">
        <v>1274</v>
      </c>
      <c r="Q258" s="567">
        <v>0</v>
      </c>
      <c r="R258" s="567">
        <v>0</v>
      </c>
      <c r="S258" s="567">
        <v>0</v>
      </c>
      <c r="T258" s="567">
        <v>0</v>
      </c>
      <c r="U258" s="567">
        <v>0</v>
      </c>
      <c r="V258" s="567">
        <v>0</v>
      </c>
      <c r="W258" s="567">
        <v>0</v>
      </c>
      <c r="X258" s="567">
        <v>0</v>
      </c>
      <c r="Y258" s="567">
        <v>0</v>
      </c>
      <c r="Z258" s="567">
        <v>0</v>
      </c>
      <c r="AA258" s="567">
        <v>0</v>
      </c>
      <c r="AB258" s="567">
        <v>0</v>
      </c>
      <c r="AC258" s="567">
        <v>0</v>
      </c>
      <c r="AD258" s="567">
        <v>0</v>
      </c>
      <c r="AE258" s="567">
        <v>0</v>
      </c>
      <c r="AF258" s="567">
        <v>0</v>
      </c>
      <c r="AG258" s="567">
        <v>0</v>
      </c>
      <c r="AH258" s="567">
        <v>0</v>
      </c>
      <c r="AI258" s="567">
        <v>0</v>
      </c>
      <c r="AJ258" s="567">
        <v>0</v>
      </c>
      <c r="AK258" s="567">
        <v>0</v>
      </c>
      <c r="AL258" s="567">
        <v>0</v>
      </c>
      <c r="AM258" s="567">
        <v>0</v>
      </c>
      <c r="AN258" s="583">
        <v>0</v>
      </c>
      <c r="AO258" s="584"/>
    </row>
    <row r="259" spans="1:41" ht="14">
      <c r="A259" s="518" t="s">
        <v>1275</v>
      </c>
      <c r="B259" s="515">
        <f t="shared" si="69"/>
        <v>0</v>
      </c>
      <c r="C259" s="516"/>
      <c r="D259" s="515">
        <f t="shared" si="70"/>
        <v>0</v>
      </c>
      <c r="E259" s="516"/>
      <c r="F259" s="515">
        <f t="shared" si="71"/>
        <v>0</v>
      </c>
      <c r="G259" s="516"/>
      <c r="H259" s="515">
        <f t="shared" si="72"/>
        <v>0</v>
      </c>
      <c r="I259" s="516"/>
      <c r="J259" s="515">
        <f t="shared" si="73"/>
        <v>0</v>
      </c>
      <c r="K259" s="516"/>
      <c r="L259" s="515">
        <f t="shared" si="74"/>
        <v>0</v>
      </c>
      <c r="M259" s="516"/>
      <c r="P259" s="568" t="s">
        <v>1275</v>
      </c>
      <c r="Q259" s="567">
        <v>0</v>
      </c>
      <c r="R259" s="567">
        <v>0</v>
      </c>
      <c r="S259" s="567">
        <v>0</v>
      </c>
      <c r="T259" s="567">
        <v>0</v>
      </c>
      <c r="U259" s="567">
        <v>0</v>
      </c>
      <c r="V259" s="567">
        <v>0</v>
      </c>
      <c r="W259" s="567">
        <v>0</v>
      </c>
      <c r="X259" s="567">
        <v>0</v>
      </c>
      <c r="Y259" s="567">
        <v>0</v>
      </c>
      <c r="Z259" s="567">
        <v>0</v>
      </c>
      <c r="AA259" s="567">
        <v>0</v>
      </c>
      <c r="AB259" s="567">
        <v>0</v>
      </c>
      <c r="AC259" s="567">
        <v>0</v>
      </c>
      <c r="AD259" s="567">
        <v>0</v>
      </c>
      <c r="AE259" s="567">
        <v>0</v>
      </c>
      <c r="AF259" s="567">
        <v>0</v>
      </c>
      <c r="AG259" s="567">
        <v>0</v>
      </c>
      <c r="AH259" s="567">
        <v>0</v>
      </c>
      <c r="AI259" s="567">
        <v>0</v>
      </c>
      <c r="AJ259" s="567">
        <v>0</v>
      </c>
      <c r="AK259" s="567">
        <v>0</v>
      </c>
      <c r="AL259" s="567">
        <v>0</v>
      </c>
      <c r="AM259" s="567">
        <v>0</v>
      </c>
      <c r="AN259" s="583">
        <v>0</v>
      </c>
      <c r="AO259" s="584"/>
    </row>
    <row r="260" spans="1:41" ht="14">
      <c r="A260" s="99" t="s">
        <v>1276</v>
      </c>
      <c r="B260" s="515">
        <f t="shared" si="69"/>
        <v>0</v>
      </c>
      <c r="C260" s="516"/>
      <c r="D260" s="515">
        <f t="shared" si="70"/>
        <v>0</v>
      </c>
      <c r="E260" s="516"/>
      <c r="F260" s="515">
        <f t="shared" si="71"/>
        <v>0</v>
      </c>
      <c r="G260" s="516"/>
      <c r="H260" s="515">
        <f t="shared" si="72"/>
        <v>0</v>
      </c>
      <c r="I260" s="516"/>
      <c r="J260" s="515">
        <f t="shared" si="73"/>
        <v>0</v>
      </c>
      <c r="K260" s="516"/>
      <c r="L260" s="515">
        <f t="shared" si="74"/>
        <v>0</v>
      </c>
      <c r="M260" s="516"/>
      <c r="P260" s="99" t="s">
        <v>1276</v>
      </c>
      <c r="Q260" s="567">
        <v>0</v>
      </c>
      <c r="R260" s="567">
        <v>0</v>
      </c>
      <c r="S260" s="567">
        <v>0</v>
      </c>
      <c r="T260" s="567">
        <v>0</v>
      </c>
      <c r="U260" s="567">
        <v>0</v>
      </c>
      <c r="V260" s="567">
        <v>0</v>
      </c>
      <c r="W260" s="567">
        <v>0</v>
      </c>
      <c r="X260" s="567">
        <v>0</v>
      </c>
      <c r="Y260" s="567">
        <v>0</v>
      </c>
      <c r="Z260" s="567">
        <v>0</v>
      </c>
      <c r="AA260" s="567">
        <v>0</v>
      </c>
      <c r="AB260" s="567">
        <v>0</v>
      </c>
      <c r="AC260" s="567">
        <v>0</v>
      </c>
      <c r="AD260" s="567">
        <v>0</v>
      </c>
      <c r="AE260" s="567">
        <v>0</v>
      </c>
      <c r="AF260" s="567">
        <v>0</v>
      </c>
      <c r="AG260" s="567">
        <v>0</v>
      </c>
      <c r="AH260" s="567">
        <v>0</v>
      </c>
      <c r="AI260" s="567">
        <v>0</v>
      </c>
      <c r="AJ260" s="567">
        <v>0</v>
      </c>
      <c r="AK260" s="567">
        <v>0</v>
      </c>
      <c r="AL260" s="567">
        <v>0</v>
      </c>
      <c r="AM260" s="567">
        <v>0</v>
      </c>
      <c r="AN260" s="583">
        <v>0</v>
      </c>
      <c r="AO260" s="584"/>
    </row>
    <row r="261" spans="1:41" ht="14">
      <c r="A261" s="518" t="s">
        <v>1277</v>
      </c>
      <c r="B261" s="515">
        <f t="shared" si="69"/>
        <v>0</v>
      </c>
      <c r="C261" s="516"/>
      <c r="D261" s="515">
        <f t="shared" si="70"/>
        <v>0</v>
      </c>
      <c r="E261" s="516"/>
      <c r="F261" s="515">
        <f t="shared" si="71"/>
        <v>0</v>
      </c>
      <c r="G261" s="516"/>
      <c r="H261" s="515">
        <f t="shared" si="72"/>
        <v>0</v>
      </c>
      <c r="I261" s="516"/>
      <c r="J261" s="515">
        <f t="shared" si="73"/>
        <v>0</v>
      </c>
      <c r="K261" s="516"/>
      <c r="L261" s="515">
        <f t="shared" si="74"/>
        <v>0</v>
      </c>
      <c r="M261" s="516"/>
      <c r="P261" s="568" t="s">
        <v>1277</v>
      </c>
      <c r="Q261" s="567">
        <v>0</v>
      </c>
      <c r="R261" s="567">
        <v>0</v>
      </c>
      <c r="S261" s="567">
        <v>0</v>
      </c>
      <c r="T261" s="567">
        <v>0</v>
      </c>
      <c r="U261" s="567">
        <v>0</v>
      </c>
      <c r="V261" s="567">
        <v>0</v>
      </c>
      <c r="W261" s="567">
        <v>0</v>
      </c>
      <c r="X261" s="567">
        <v>0</v>
      </c>
      <c r="Y261" s="567">
        <v>0</v>
      </c>
      <c r="Z261" s="567">
        <v>0</v>
      </c>
      <c r="AA261" s="567">
        <v>0</v>
      </c>
      <c r="AB261" s="567">
        <v>0</v>
      </c>
      <c r="AC261" s="567">
        <v>0</v>
      </c>
      <c r="AD261" s="567">
        <v>0</v>
      </c>
      <c r="AE261" s="567">
        <v>0</v>
      </c>
      <c r="AF261" s="567">
        <v>0</v>
      </c>
      <c r="AG261" s="567">
        <v>0</v>
      </c>
      <c r="AH261" s="567">
        <v>0</v>
      </c>
      <c r="AI261" s="567">
        <v>0</v>
      </c>
      <c r="AJ261" s="567">
        <v>0</v>
      </c>
      <c r="AK261" s="567">
        <v>0</v>
      </c>
      <c r="AL261" s="567">
        <v>0</v>
      </c>
      <c r="AM261" s="567">
        <v>0</v>
      </c>
      <c r="AN261" s="583">
        <v>0</v>
      </c>
      <c r="AO261" s="584"/>
    </row>
    <row r="262" spans="1:41" ht="14">
      <c r="A262" s="518" t="s">
        <v>1278</v>
      </c>
      <c r="B262" s="515">
        <f t="shared" si="69"/>
        <v>0</v>
      </c>
      <c r="C262" s="516"/>
      <c r="D262" s="515">
        <f t="shared" si="70"/>
        <v>0</v>
      </c>
      <c r="E262" s="516"/>
      <c r="F262" s="515">
        <f t="shared" si="71"/>
        <v>0</v>
      </c>
      <c r="G262" s="516"/>
      <c r="H262" s="515">
        <f t="shared" si="72"/>
        <v>0</v>
      </c>
      <c r="I262" s="516"/>
      <c r="J262" s="515">
        <f t="shared" si="73"/>
        <v>0</v>
      </c>
      <c r="K262" s="516"/>
      <c r="L262" s="515">
        <f t="shared" si="74"/>
        <v>0</v>
      </c>
      <c r="M262" s="516"/>
      <c r="P262" s="568" t="s">
        <v>1278</v>
      </c>
      <c r="Q262" s="567">
        <v>96204</v>
      </c>
      <c r="R262" s="567">
        <v>0</v>
      </c>
      <c r="S262" s="567">
        <v>0</v>
      </c>
      <c r="T262" s="567">
        <v>96204</v>
      </c>
      <c r="U262" s="567">
        <v>78005</v>
      </c>
      <c r="V262" s="567">
        <v>0</v>
      </c>
      <c r="W262" s="567">
        <v>256289</v>
      </c>
      <c r="X262" s="567">
        <v>334294</v>
      </c>
      <c r="Y262" s="567">
        <v>0</v>
      </c>
      <c r="Z262" s="567">
        <v>0</v>
      </c>
      <c r="AA262" s="567">
        <v>0</v>
      </c>
      <c r="AB262" s="567">
        <v>0</v>
      </c>
      <c r="AC262" s="567">
        <v>0</v>
      </c>
      <c r="AD262" s="567">
        <v>0</v>
      </c>
      <c r="AE262" s="567">
        <v>0</v>
      </c>
      <c r="AF262" s="567">
        <v>0</v>
      </c>
      <c r="AG262" s="567">
        <v>0</v>
      </c>
      <c r="AH262" s="567">
        <v>0</v>
      </c>
      <c r="AI262" s="567">
        <v>0</v>
      </c>
      <c r="AJ262" s="567">
        <v>0</v>
      </c>
      <c r="AK262" s="567">
        <v>0</v>
      </c>
      <c r="AL262" s="567">
        <v>0</v>
      </c>
      <c r="AM262" s="567">
        <v>0</v>
      </c>
      <c r="AN262" s="583">
        <v>0</v>
      </c>
      <c r="AO262" s="584"/>
    </row>
    <row r="263" spans="1:41" ht="14.5" thickBot="1">
      <c r="A263" s="530" t="s">
        <v>1279</v>
      </c>
      <c r="B263" s="515">
        <f t="shared" si="69"/>
        <v>0</v>
      </c>
      <c r="C263" s="516"/>
      <c r="D263" s="515">
        <f t="shared" si="70"/>
        <v>0</v>
      </c>
      <c r="E263" s="516"/>
      <c r="F263" s="515">
        <f t="shared" si="71"/>
        <v>0</v>
      </c>
      <c r="G263" s="516"/>
      <c r="H263" s="515">
        <f t="shared" si="72"/>
        <v>0</v>
      </c>
      <c r="I263" s="516"/>
      <c r="J263" s="515">
        <f t="shared" si="73"/>
        <v>0</v>
      </c>
      <c r="K263" s="516"/>
      <c r="L263" s="515">
        <f t="shared" si="74"/>
        <v>0</v>
      </c>
      <c r="M263" s="516"/>
      <c r="P263" s="568" t="s">
        <v>1279</v>
      </c>
      <c r="Q263" s="567">
        <v>0</v>
      </c>
      <c r="R263" s="585">
        <v>0</v>
      </c>
      <c r="S263" s="585">
        <v>0</v>
      </c>
      <c r="T263" s="585">
        <v>0</v>
      </c>
      <c r="U263" s="585">
        <v>0</v>
      </c>
      <c r="V263" s="585">
        <v>0</v>
      </c>
      <c r="W263" s="585">
        <v>0</v>
      </c>
      <c r="X263" s="585">
        <v>0</v>
      </c>
      <c r="Y263" s="585">
        <v>0</v>
      </c>
      <c r="Z263" s="585">
        <v>0</v>
      </c>
      <c r="AA263" s="585">
        <v>0</v>
      </c>
      <c r="AB263" s="585">
        <v>0</v>
      </c>
      <c r="AC263" s="585">
        <v>0</v>
      </c>
      <c r="AD263" s="585">
        <v>0</v>
      </c>
      <c r="AE263" s="585">
        <v>0</v>
      </c>
      <c r="AF263" s="585">
        <v>0</v>
      </c>
      <c r="AG263" s="585">
        <v>0</v>
      </c>
      <c r="AH263" s="585">
        <v>0</v>
      </c>
      <c r="AI263" s="585">
        <v>0</v>
      </c>
      <c r="AJ263" s="585">
        <v>0</v>
      </c>
      <c r="AK263" s="585">
        <v>0</v>
      </c>
      <c r="AL263" s="585">
        <v>0</v>
      </c>
      <c r="AM263" s="585">
        <v>0</v>
      </c>
      <c r="AN263" s="586">
        <v>0</v>
      </c>
      <c r="AO263" s="584"/>
    </row>
    <row r="264" spans="1:41" ht="14.5" thickBot="1">
      <c r="A264" s="530" t="s">
        <v>2303</v>
      </c>
      <c r="B264" s="515"/>
      <c r="C264" s="516"/>
      <c r="D264" s="515"/>
      <c r="E264" s="516"/>
      <c r="F264" s="515"/>
      <c r="G264" s="516"/>
      <c r="H264" s="515"/>
      <c r="I264" s="516"/>
      <c r="J264" s="515"/>
      <c r="K264" s="516"/>
      <c r="L264" s="515"/>
      <c r="M264" s="516"/>
      <c r="P264" s="579" t="s">
        <v>2545</v>
      </c>
      <c r="Q264" s="567">
        <v>0</v>
      </c>
      <c r="R264" s="585">
        <v>0</v>
      </c>
      <c r="S264" s="585">
        <v>0</v>
      </c>
      <c r="T264" s="585">
        <v>0</v>
      </c>
      <c r="U264" s="585">
        <v>0</v>
      </c>
      <c r="V264" s="585">
        <v>0</v>
      </c>
      <c r="W264" s="585">
        <v>0</v>
      </c>
      <c r="X264" s="585">
        <v>0</v>
      </c>
      <c r="Y264" s="585">
        <v>0</v>
      </c>
      <c r="Z264" s="585">
        <v>0</v>
      </c>
      <c r="AA264" s="585">
        <v>0</v>
      </c>
      <c r="AB264" s="585">
        <v>0</v>
      </c>
      <c r="AC264" s="585">
        <v>0</v>
      </c>
      <c r="AD264" s="585">
        <v>0</v>
      </c>
      <c r="AE264" s="585">
        <v>0</v>
      </c>
      <c r="AF264" s="585">
        <v>0</v>
      </c>
      <c r="AG264" s="585">
        <v>0</v>
      </c>
      <c r="AH264" s="585">
        <v>0</v>
      </c>
      <c r="AI264" s="585">
        <v>0</v>
      </c>
      <c r="AJ264" s="585">
        <v>0</v>
      </c>
      <c r="AK264" s="585">
        <v>0</v>
      </c>
      <c r="AL264" s="585">
        <v>0</v>
      </c>
      <c r="AM264" s="587">
        <v>0</v>
      </c>
      <c r="AN264" s="588">
        <v>0</v>
      </c>
      <c r="AO264" s="543">
        <v>0</v>
      </c>
    </row>
    <row r="265" spans="1:41" ht="14.5" thickBot="1">
      <c r="A265" s="523"/>
      <c r="B265" s="531"/>
      <c r="C265" s="531"/>
      <c r="D265" s="531"/>
      <c r="E265" s="531"/>
      <c r="F265" s="531"/>
      <c r="G265" s="531"/>
      <c r="H265" s="531"/>
      <c r="I265" s="531"/>
      <c r="J265" s="531"/>
      <c r="K265" s="531"/>
      <c r="L265" s="531"/>
      <c r="M265" s="531"/>
      <c r="P265" s="569" t="s">
        <v>190</v>
      </c>
      <c r="Q265" s="589">
        <v>0</v>
      </c>
      <c r="R265" s="590">
        <v>0</v>
      </c>
      <c r="S265" s="591">
        <v>0</v>
      </c>
      <c r="T265" s="592">
        <v>96204</v>
      </c>
      <c r="U265" s="590">
        <v>0</v>
      </c>
      <c r="V265" s="590">
        <v>0</v>
      </c>
      <c r="W265" s="591">
        <v>0</v>
      </c>
      <c r="X265" s="592">
        <v>334294</v>
      </c>
      <c r="Y265" s="590">
        <v>0</v>
      </c>
      <c r="Z265" s="590">
        <v>0</v>
      </c>
      <c r="AA265" s="591">
        <v>0</v>
      </c>
      <c r="AB265" s="592">
        <v>16636</v>
      </c>
      <c r="AC265" s="590">
        <v>0</v>
      </c>
      <c r="AD265" s="590">
        <v>0</v>
      </c>
      <c r="AE265" s="591">
        <v>0</v>
      </c>
      <c r="AF265" s="592">
        <v>0</v>
      </c>
      <c r="AG265" s="590">
        <v>0</v>
      </c>
      <c r="AH265" s="590">
        <v>0</v>
      </c>
      <c r="AI265" s="591">
        <v>0</v>
      </c>
      <c r="AJ265" s="592">
        <v>0</v>
      </c>
      <c r="AK265" s="590">
        <v>0</v>
      </c>
      <c r="AL265" s="590">
        <v>0</v>
      </c>
      <c r="AM265" s="591">
        <v>0</v>
      </c>
      <c r="AN265" s="593">
        <v>0</v>
      </c>
      <c r="AO265" s="97">
        <f>T265+X265+AB265+AF265+AJ265+AN265</f>
        <v>447134</v>
      </c>
    </row>
    <row r="266" spans="1:41" ht="14">
      <c r="A266" s="533"/>
      <c r="B266" s="534"/>
      <c r="C266" s="534"/>
      <c r="D266" s="534"/>
      <c r="E266" s="534"/>
      <c r="I266" s="534"/>
      <c r="J266" s="534"/>
      <c r="K266" s="534"/>
      <c r="L266" s="534"/>
      <c r="M266" s="534"/>
      <c r="N266" s="534"/>
      <c r="S266" s="581"/>
      <c r="V266" s="581"/>
      <c r="Y266" s="581"/>
      <c r="AB266" s="581"/>
      <c r="AE266" s="581"/>
      <c r="AH266" s="581"/>
    </row>
    <row r="267" spans="1:41" ht="13.5" thickBot="1">
      <c r="C267" s="35"/>
      <c r="E267" s="425"/>
      <c r="H267" s="28"/>
      <c r="I267" s="28"/>
      <c r="J267" s="28"/>
      <c r="M267" s="522"/>
      <c r="N267" s="124"/>
    </row>
    <row r="268" spans="1:41" ht="13" thickBot="1">
      <c r="A268" s="811" t="s">
        <v>3719</v>
      </c>
      <c r="B268" s="812"/>
      <c r="C268" s="812"/>
      <c r="D268" s="812"/>
      <c r="E268" s="812"/>
      <c r="F268" s="812"/>
      <c r="G268" s="812"/>
      <c r="H268" s="812"/>
      <c r="I268" s="812"/>
      <c r="J268" s="812"/>
      <c r="K268" s="812"/>
      <c r="L268" s="812"/>
      <c r="M268" s="813"/>
      <c r="N268" s="96"/>
      <c r="P268" s="544" t="s">
        <v>1392</v>
      </c>
      <c r="Q268" s="846" t="s">
        <v>3720</v>
      </c>
      <c r="R268" s="817"/>
      <c r="S268" s="817"/>
      <c r="T268" s="817"/>
      <c r="U268" s="817"/>
      <c r="V268" s="817"/>
      <c r="W268" s="817"/>
      <c r="X268" s="817"/>
      <c r="Y268" s="817"/>
      <c r="Z268" s="817"/>
      <c r="AA268" s="817"/>
      <c r="AB268" s="817"/>
      <c r="AC268" s="817"/>
      <c r="AD268" s="817"/>
      <c r="AE268" s="817"/>
      <c r="AF268" s="817"/>
      <c r="AG268" s="817"/>
      <c r="AH268" s="817"/>
      <c r="AI268" s="817"/>
      <c r="AJ268" s="817"/>
      <c r="AK268" s="817"/>
      <c r="AL268" s="817"/>
      <c r="AM268" s="817"/>
      <c r="AN268" s="818"/>
    </row>
    <row r="269" spans="1:41" ht="30" customHeight="1" thickBot="1">
      <c r="A269" s="814" t="s">
        <v>1293</v>
      </c>
      <c r="B269" s="809" t="s">
        <v>1386</v>
      </c>
      <c r="C269" s="807"/>
      <c r="D269" s="809" t="s">
        <v>1387</v>
      </c>
      <c r="E269" s="807"/>
      <c r="F269" s="809" t="s">
        <v>1388</v>
      </c>
      <c r="G269" s="807"/>
      <c r="H269" s="809" t="s">
        <v>1389</v>
      </c>
      <c r="I269" s="807"/>
      <c r="J269" s="809" t="s">
        <v>1390</v>
      </c>
      <c r="K269" s="807"/>
      <c r="L269" s="809" t="s">
        <v>1391</v>
      </c>
      <c r="M269" s="807"/>
      <c r="P269" s="545" t="s">
        <v>3685</v>
      </c>
      <c r="Q269" s="816" t="s">
        <v>226</v>
      </c>
      <c r="R269" s="817"/>
      <c r="S269" s="817"/>
      <c r="T269" s="818"/>
      <c r="U269" s="816" t="s">
        <v>206</v>
      </c>
      <c r="V269" s="817"/>
      <c r="W269" s="817"/>
      <c r="X269" s="818"/>
      <c r="Y269" s="816" t="s">
        <v>222</v>
      </c>
      <c r="Z269" s="817"/>
      <c r="AA269" s="817"/>
      <c r="AB269" s="818"/>
      <c r="AC269" s="816" t="s">
        <v>223</v>
      </c>
      <c r="AD269" s="817"/>
      <c r="AE269" s="817"/>
      <c r="AF269" s="818"/>
      <c r="AG269" s="816" t="s">
        <v>225</v>
      </c>
      <c r="AH269" s="817"/>
      <c r="AI269" s="817"/>
      <c r="AJ269" s="818"/>
      <c r="AK269" s="816" t="s">
        <v>224</v>
      </c>
      <c r="AL269" s="817"/>
      <c r="AM269" s="817"/>
      <c r="AN269" s="817"/>
      <c r="AO269" s="840"/>
    </row>
    <row r="270" spans="1:41" ht="13.5" customHeight="1" thickBot="1">
      <c r="A270" s="815"/>
      <c r="B270" s="810"/>
      <c r="C270" s="808"/>
      <c r="D270" s="810"/>
      <c r="E270" s="808"/>
      <c r="F270" s="810"/>
      <c r="G270" s="808"/>
      <c r="H270" s="810"/>
      <c r="I270" s="808"/>
      <c r="J270" s="810"/>
      <c r="K270" s="808"/>
      <c r="L270" s="810"/>
      <c r="M270" s="808"/>
      <c r="P270" s="582" t="s">
        <v>3686</v>
      </c>
      <c r="Q270" s="154" t="s">
        <v>3687</v>
      </c>
      <c r="R270" s="48" t="s">
        <v>3688</v>
      </c>
      <c r="S270" s="155" t="s">
        <v>3689</v>
      </c>
      <c r="T270" s="48" t="s">
        <v>1296</v>
      </c>
      <c r="U270" s="154" t="s">
        <v>3687</v>
      </c>
      <c r="V270" s="48" t="s">
        <v>3688</v>
      </c>
      <c r="W270" s="155" t="s">
        <v>3689</v>
      </c>
      <c r="X270" s="48" t="s">
        <v>1296</v>
      </c>
      <c r="Y270" s="154" t="s">
        <v>3687</v>
      </c>
      <c r="Z270" s="48" t="s">
        <v>3688</v>
      </c>
      <c r="AA270" s="155" t="s">
        <v>3689</v>
      </c>
      <c r="AB270" s="48" t="s">
        <v>1296</v>
      </c>
      <c r="AC270" s="154" t="s">
        <v>3687</v>
      </c>
      <c r="AD270" s="48" t="s">
        <v>3688</v>
      </c>
      <c r="AE270" s="155" t="s">
        <v>3689</v>
      </c>
      <c r="AF270" s="48" t="s">
        <v>1296</v>
      </c>
      <c r="AG270" s="154" t="s">
        <v>3687</v>
      </c>
      <c r="AH270" s="48" t="s">
        <v>3688</v>
      </c>
      <c r="AI270" s="155" t="s">
        <v>3689</v>
      </c>
      <c r="AJ270" s="48" t="s">
        <v>1296</v>
      </c>
      <c r="AK270" s="154" t="s">
        <v>3687</v>
      </c>
      <c r="AL270" s="48" t="s">
        <v>3688</v>
      </c>
      <c r="AM270" s="155" t="s">
        <v>3689</v>
      </c>
      <c r="AN270" s="156" t="s">
        <v>1296</v>
      </c>
      <c r="AO270" s="840"/>
    </row>
    <row r="271" spans="1:41" ht="14">
      <c r="A271" s="98" t="s">
        <v>2285</v>
      </c>
      <c r="B271" s="515">
        <f t="shared" ref="B271:B289" si="75">$T271*$J36</f>
        <v>0</v>
      </c>
      <c r="C271" s="516"/>
      <c r="D271" s="515">
        <f t="shared" ref="D271:D289" si="76">$X271*$J36</f>
        <v>0</v>
      </c>
      <c r="E271" s="516"/>
      <c r="F271" s="515">
        <f>ABY271*$J36</f>
        <v>0</v>
      </c>
      <c r="G271" s="516"/>
      <c r="H271" s="515">
        <f>AF271*$J36</f>
        <v>0</v>
      </c>
      <c r="I271" s="516"/>
      <c r="J271" s="515">
        <f>AJ271*$J36</f>
        <v>0</v>
      </c>
      <c r="K271" s="516"/>
      <c r="L271" s="515">
        <f>AN271*$J36</f>
        <v>0</v>
      </c>
      <c r="M271" s="516"/>
      <c r="P271" s="99" t="s">
        <v>2285</v>
      </c>
      <c r="Q271" s="567">
        <v>0</v>
      </c>
      <c r="R271" s="567">
        <v>0</v>
      </c>
      <c r="S271" s="567">
        <v>0</v>
      </c>
      <c r="T271" s="567">
        <v>0</v>
      </c>
      <c r="U271" s="567">
        <v>0</v>
      </c>
      <c r="V271" s="567">
        <v>0</v>
      </c>
      <c r="W271" s="567">
        <v>0</v>
      </c>
      <c r="X271" s="567">
        <v>0</v>
      </c>
      <c r="Y271" s="567">
        <v>0</v>
      </c>
      <c r="Z271" s="567">
        <v>0</v>
      </c>
      <c r="AA271" s="567">
        <v>0</v>
      </c>
      <c r="AB271" s="567">
        <v>0</v>
      </c>
      <c r="AC271" s="567">
        <v>0</v>
      </c>
      <c r="AD271" s="567">
        <v>0</v>
      </c>
      <c r="AE271" s="567">
        <v>0</v>
      </c>
      <c r="AF271" s="567">
        <v>0</v>
      </c>
      <c r="AG271" s="567">
        <v>0</v>
      </c>
      <c r="AH271" s="567">
        <v>0</v>
      </c>
      <c r="AI271" s="567">
        <v>0</v>
      </c>
      <c r="AJ271" s="567">
        <v>0</v>
      </c>
      <c r="AK271" s="567">
        <v>0</v>
      </c>
      <c r="AL271" s="567">
        <v>0</v>
      </c>
      <c r="AM271" s="567">
        <v>0</v>
      </c>
      <c r="AN271" s="583">
        <v>0</v>
      </c>
      <c r="AO271" s="584"/>
    </row>
    <row r="272" spans="1:41" ht="14">
      <c r="A272" s="518" t="s">
        <v>1262</v>
      </c>
      <c r="B272" s="515">
        <f>$T272*$J37</f>
        <v>1834830.0577487096</v>
      </c>
      <c r="C272" s="516"/>
      <c r="D272" s="515">
        <f t="shared" si="76"/>
        <v>0</v>
      </c>
      <c r="E272" s="516"/>
      <c r="F272" s="515">
        <f>AB272*$J37</f>
        <v>0</v>
      </c>
      <c r="G272" s="516"/>
      <c r="H272" s="515">
        <f>AF272*$J37</f>
        <v>0</v>
      </c>
      <c r="I272" s="516"/>
      <c r="J272" s="515">
        <f>AJ272*$J37</f>
        <v>0</v>
      </c>
      <c r="K272" s="516"/>
      <c r="L272" s="515">
        <f>AN272*$J37</f>
        <v>0</v>
      </c>
      <c r="M272" s="516"/>
      <c r="P272" s="568" t="s">
        <v>1262</v>
      </c>
      <c r="Q272" s="567">
        <v>125641</v>
      </c>
      <c r="R272" s="567">
        <v>0</v>
      </c>
      <c r="S272" s="567">
        <v>0</v>
      </c>
      <c r="T272" s="567">
        <v>125641</v>
      </c>
      <c r="U272" s="567">
        <v>0</v>
      </c>
      <c r="V272" s="567">
        <v>0</v>
      </c>
      <c r="W272" s="567">
        <v>0</v>
      </c>
      <c r="X272" s="567">
        <v>0</v>
      </c>
      <c r="Y272" s="567">
        <v>0</v>
      </c>
      <c r="Z272" s="567">
        <v>0</v>
      </c>
      <c r="AA272" s="567">
        <v>0</v>
      </c>
      <c r="AB272" s="567">
        <v>0</v>
      </c>
      <c r="AC272" s="567">
        <v>0</v>
      </c>
      <c r="AD272" s="567">
        <v>0</v>
      </c>
      <c r="AE272" s="567">
        <v>0</v>
      </c>
      <c r="AF272" s="567">
        <v>0</v>
      </c>
      <c r="AG272" s="567">
        <v>0</v>
      </c>
      <c r="AH272" s="567">
        <v>0</v>
      </c>
      <c r="AI272" s="567">
        <v>0</v>
      </c>
      <c r="AJ272" s="567">
        <v>0</v>
      </c>
      <c r="AK272" s="567">
        <v>0</v>
      </c>
      <c r="AL272" s="567">
        <v>0</v>
      </c>
      <c r="AM272" s="567">
        <v>0</v>
      </c>
      <c r="AN272" s="583">
        <v>0</v>
      </c>
      <c r="AO272" s="584"/>
    </row>
    <row r="273" spans="1:41" ht="14">
      <c r="A273" s="518" t="s">
        <v>1263</v>
      </c>
      <c r="B273" s="515">
        <f t="shared" si="75"/>
        <v>0</v>
      </c>
      <c r="C273" s="516"/>
      <c r="D273" s="515">
        <f t="shared" si="76"/>
        <v>0</v>
      </c>
      <c r="E273" s="516"/>
      <c r="F273" s="515">
        <f t="shared" ref="F273:F289" si="77">AB273*$J38</f>
        <v>0</v>
      </c>
      <c r="G273" s="516"/>
      <c r="H273" s="515">
        <f t="shared" ref="H273:H289" si="78">AF273*$J38</f>
        <v>0</v>
      </c>
      <c r="I273" s="516"/>
      <c r="J273" s="515">
        <f t="shared" ref="J273:J289" si="79">AJ273*$J38</f>
        <v>0</v>
      </c>
      <c r="K273" s="516"/>
      <c r="L273" s="515">
        <f t="shared" ref="L273:L289" si="80">AN273*$J38</f>
        <v>0</v>
      </c>
      <c r="M273" s="516"/>
      <c r="P273" s="568" t="s">
        <v>1263</v>
      </c>
      <c r="Q273" s="567">
        <v>0</v>
      </c>
      <c r="R273" s="567">
        <v>0</v>
      </c>
      <c r="S273" s="567">
        <v>0</v>
      </c>
      <c r="T273" s="567">
        <v>0</v>
      </c>
      <c r="U273" s="567">
        <v>0</v>
      </c>
      <c r="V273" s="567">
        <v>0</v>
      </c>
      <c r="W273" s="567">
        <v>0</v>
      </c>
      <c r="X273" s="567">
        <v>0</v>
      </c>
      <c r="Y273" s="567">
        <v>0</v>
      </c>
      <c r="Z273" s="567">
        <v>0</v>
      </c>
      <c r="AA273" s="567">
        <v>0</v>
      </c>
      <c r="AB273" s="567">
        <v>0</v>
      </c>
      <c r="AC273" s="567">
        <v>0</v>
      </c>
      <c r="AD273" s="567">
        <v>0</v>
      </c>
      <c r="AE273" s="567">
        <v>0</v>
      </c>
      <c r="AF273" s="567">
        <v>0</v>
      </c>
      <c r="AG273" s="567">
        <v>0</v>
      </c>
      <c r="AH273" s="567">
        <v>0</v>
      </c>
      <c r="AI273" s="567">
        <v>0</v>
      </c>
      <c r="AJ273" s="567">
        <v>0</v>
      </c>
      <c r="AK273" s="567">
        <v>0</v>
      </c>
      <c r="AL273" s="567">
        <v>0</v>
      </c>
      <c r="AM273" s="567">
        <v>0</v>
      </c>
      <c r="AN273" s="583">
        <v>0</v>
      </c>
      <c r="AO273" s="584"/>
    </row>
    <row r="274" spans="1:41" ht="14">
      <c r="A274" s="518" t="s">
        <v>1264</v>
      </c>
      <c r="B274" s="515">
        <f t="shared" si="75"/>
        <v>0</v>
      </c>
      <c r="C274" s="516"/>
      <c r="D274" s="515">
        <f t="shared" si="76"/>
        <v>0</v>
      </c>
      <c r="E274" s="516"/>
      <c r="F274" s="515">
        <f t="shared" si="77"/>
        <v>0</v>
      </c>
      <c r="G274" s="516"/>
      <c r="H274" s="515">
        <f t="shared" si="78"/>
        <v>0</v>
      </c>
      <c r="I274" s="516"/>
      <c r="J274" s="515">
        <f t="shared" si="79"/>
        <v>0</v>
      </c>
      <c r="K274" s="516"/>
      <c r="L274" s="515">
        <f t="shared" si="80"/>
        <v>0</v>
      </c>
      <c r="M274" s="516"/>
      <c r="P274" s="568" t="s">
        <v>1264</v>
      </c>
      <c r="Q274" s="567">
        <v>0</v>
      </c>
      <c r="R274" s="567">
        <v>0</v>
      </c>
      <c r="S274" s="567">
        <v>0</v>
      </c>
      <c r="T274" s="567">
        <v>0</v>
      </c>
      <c r="U274" s="567">
        <v>0</v>
      </c>
      <c r="V274" s="567">
        <v>0</v>
      </c>
      <c r="W274" s="567">
        <v>0</v>
      </c>
      <c r="X274" s="567">
        <v>0</v>
      </c>
      <c r="Y274" s="567">
        <v>0</v>
      </c>
      <c r="Z274" s="567">
        <v>0</v>
      </c>
      <c r="AA274" s="567">
        <v>0</v>
      </c>
      <c r="AB274" s="567">
        <v>0</v>
      </c>
      <c r="AC274" s="567">
        <v>0</v>
      </c>
      <c r="AD274" s="567">
        <v>0</v>
      </c>
      <c r="AE274" s="567">
        <v>0</v>
      </c>
      <c r="AF274" s="567">
        <v>0</v>
      </c>
      <c r="AG274" s="567">
        <v>0</v>
      </c>
      <c r="AH274" s="567">
        <v>0</v>
      </c>
      <c r="AI274" s="567">
        <v>0</v>
      </c>
      <c r="AJ274" s="567">
        <v>0</v>
      </c>
      <c r="AK274" s="567">
        <v>0</v>
      </c>
      <c r="AL274" s="567">
        <v>0</v>
      </c>
      <c r="AM274" s="567">
        <v>0</v>
      </c>
      <c r="AN274" s="583">
        <v>0</v>
      </c>
      <c r="AO274" s="584"/>
    </row>
    <row r="275" spans="1:41" ht="14">
      <c r="A275" s="518" t="s">
        <v>1265</v>
      </c>
      <c r="B275" s="515">
        <f t="shared" si="75"/>
        <v>0</v>
      </c>
      <c r="C275" s="516"/>
      <c r="D275" s="515">
        <f t="shared" si="76"/>
        <v>0</v>
      </c>
      <c r="E275" s="516"/>
      <c r="F275" s="515">
        <f t="shared" si="77"/>
        <v>0</v>
      </c>
      <c r="G275" s="516"/>
      <c r="H275" s="515">
        <f t="shared" si="78"/>
        <v>0</v>
      </c>
      <c r="I275" s="516"/>
      <c r="J275" s="515">
        <f t="shared" si="79"/>
        <v>0</v>
      </c>
      <c r="K275" s="516"/>
      <c r="L275" s="515">
        <f t="shared" si="80"/>
        <v>0</v>
      </c>
      <c r="M275" s="516"/>
      <c r="P275" s="568" t="s">
        <v>1265</v>
      </c>
      <c r="Q275" s="567">
        <v>0</v>
      </c>
      <c r="R275" s="567">
        <v>0</v>
      </c>
      <c r="S275" s="567">
        <v>0</v>
      </c>
      <c r="T275" s="567">
        <v>0</v>
      </c>
      <c r="U275" s="567">
        <v>0</v>
      </c>
      <c r="V275" s="567">
        <v>0</v>
      </c>
      <c r="W275" s="567">
        <v>0</v>
      </c>
      <c r="X275" s="567">
        <v>0</v>
      </c>
      <c r="Y275" s="567">
        <v>0</v>
      </c>
      <c r="Z275" s="567">
        <v>0</v>
      </c>
      <c r="AA275" s="567">
        <v>0</v>
      </c>
      <c r="AB275" s="567">
        <v>0</v>
      </c>
      <c r="AC275" s="567">
        <v>0</v>
      </c>
      <c r="AD275" s="567">
        <v>0</v>
      </c>
      <c r="AE275" s="567">
        <v>0</v>
      </c>
      <c r="AF275" s="567">
        <v>0</v>
      </c>
      <c r="AG275" s="567">
        <v>0</v>
      </c>
      <c r="AH275" s="567">
        <v>0</v>
      </c>
      <c r="AI275" s="567">
        <v>0</v>
      </c>
      <c r="AJ275" s="567">
        <v>0</v>
      </c>
      <c r="AK275" s="567">
        <v>0</v>
      </c>
      <c r="AL275" s="567">
        <v>0</v>
      </c>
      <c r="AM275" s="567">
        <v>0</v>
      </c>
      <c r="AN275" s="583">
        <v>0</v>
      </c>
      <c r="AO275" s="584"/>
    </row>
    <row r="276" spans="1:41" ht="14">
      <c r="A276" s="518" t="s">
        <v>1266</v>
      </c>
      <c r="B276" s="515">
        <f t="shared" si="75"/>
        <v>0</v>
      </c>
      <c r="C276" s="516"/>
      <c r="D276" s="515">
        <f t="shared" si="76"/>
        <v>0</v>
      </c>
      <c r="E276" s="516"/>
      <c r="F276" s="515">
        <f t="shared" si="77"/>
        <v>0</v>
      </c>
      <c r="G276" s="516"/>
      <c r="H276" s="515">
        <f t="shared" si="78"/>
        <v>0</v>
      </c>
      <c r="I276" s="516"/>
      <c r="J276" s="515">
        <f t="shared" si="79"/>
        <v>0</v>
      </c>
      <c r="K276" s="516"/>
      <c r="L276" s="515">
        <f t="shared" si="80"/>
        <v>0</v>
      </c>
      <c r="M276" s="516"/>
      <c r="P276" s="568" t="s">
        <v>1266</v>
      </c>
      <c r="Q276" s="567">
        <v>0</v>
      </c>
      <c r="R276" s="567">
        <v>0</v>
      </c>
      <c r="S276" s="567">
        <v>0</v>
      </c>
      <c r="T276" s="567">
        <v>0</v>
      </c>
      <c r="U276" s="567">
        <v>0</v>
      </c>
      <c r="V276" s="567">
        <v>0</v>
      </c>
      <c r="W276" s="567">
        <v>0</v>
      </c>
      <c r="X276" s="567">
        <v>0</v>
      </c>
      <c r="Y276" s="567">
        <v>0</v>
      </c>
      <c r="Z276" s="567">
        <v>0</v>
      </c>
      <c r="AA276" s="567">
        <v>0</v>
      </c>
      <c r="AB276" s="567">
        <v>0</v>
      </c>
      <c r="AC276" s="567">
        <v>0</v>
      </c>
      <c r="AD276" s="567">
        <v>0</v>
      </c>
      <c r="AE276" s="567">
        <v>0</v>
      </c>
      <c r="AF276" s="567">
        <v>0</v>
      </c>
      <c r="AG276" s="567">
        <v>0</v>
      </c>
      <c r="AH276" s="567">
        <v>0</v>
      </c>
      <c r="AI276" s="567">
        <v>0</v>
      </c>
      <c r="AJ276" s="567">
        <v>0</v>
      </c>
      <c r="AK276" s="567">
        <v>0</v>
      </c>
      <c r="AL276" s="567">
        <v>0</v>
      </c>
      <c r="AM276" s="567">
        <v>0</v>
      </c>
      <c r="AN276" s="583">
        <v>0</v>
      </c>
      <c r="AO276" s="584"/>
    </row>
    <row r="277" spans="1:41" ht="14">
      <c r="A277" s="518" t="s">
        <v>1267</v>
      </c>
      <c r="B277" s="515">
        <f t="shared" si="75"/>
        <v>0</v>
      </c>
      <c r="C277" s="516"/>
      <c r="D277" s="515">
        <f t="shared" si="76"/>
        <v>0</v>
      </c>
      <c r="E277" s="516"/>
      <c r="F277" s="515">
        <f t="shared" si="77"/>
        <v>0</v>
      </c>
      <c r="G277" s="516"/>
      <c r="H277" s="515">
        <f t="shared" si="78"/>
        <v>0</v>
      </c>
      <c r="I277" s="516"/>
      <c r="J277" s="515">
        <f t="shared" si="79"/>
        <v>0</v>
      </c>
      <c r="K277" s="516"/>
      <c r="L277" s="515">
        <f t="shared" si="80"/>
        <v>0</v>
      </c>
      <c r="M277" s="516"/>
      <c r="P277" s="568" t="s">
        <v>1267</v>
      </c>
      <c r="Q277" s="567">
        <v>0</v>
      </c>
      <c r="R277" s="567">
        <v>0</v>
      </c>
      <c r="S277" s="567">
        <v>0</v>
      </c>
      <c r="T277" s="567">
        <v>0</v>
      </c>
      <c r="U277" s="567">
        <v>0</v>
      </c>
      <c r="V277" s="567">
        <v>0</v>
      </c>
      <c r="W277" s="567">
        <v>0</v>
      </c>
      <c r="X277" s="567">
        <v>0</v>
      </c>
      <c r="Y277" s="567">
        <v>0</v>
      </c>
      <c r="Z277" s="567">
        <v>0</v>
      </c>
      <c r="AA277" s="567">
        <v>0</v>
      </c>
      <c r="AB277" s="567">
        <v>0</v>
      </c>
      <c r="AC277" s="567">
        <v>0</v>
      </c>
      <c r="AD277" s="567">
        <v>0</v>
      </c>
      <c r="AE277" s="567">
        <v>0</v>
      </c>
      <c r="AF277" s="567">
        <v>0</v>
      </c>
      <c r="AG277" s="567">
        <v>0</v>
      </c>
      <c r="AH277" s="567">
        <v>0</v>
      </c>
      <c r="AI277" s="567">
        <v>0</v>
      </c>
      <c r="AJ277" s="567">
        <v>0</v>
      </c>
      <c r="AK277" s="567">
        <v>0</v>
      </c>
      <c r="AL277" s="567">
        <v>0</v>
      </c>
      <c r="AM277" s="567">
        <v>0</v>
      </c>
      <c r="AN277" s="583">
        <v>0</v>
      </c>
      <c r="AO277" s="584"/>
    </row>
    <row r="278" spans="1:41" ht="14">
      <c r="A278" s="520" t="s">
        <v>1268</v>
      </c>
      <c r="B278" s="515">
        <f t="shared" si="75"/>
        <v>0</v>
      </c>
      <c r="C278" s="516"/>
      <c r="D278" s="515">
        <f t="shared" si="76"/>
        <v>0</v>
      </c>
      <c r="E278" s="516"/>
      <c r="F278" s="515">
        <f t="shared" si="77"/>
        <v>0</v>
      </c>
      <c r="G278" s="516"/>
      <c r="H278" s="515">
        <f t="shared" si="78"/>
        <v>0</v>
      </c>
      <c r="I278" s="516"/>
      <c r="J278" s="515">
        <f t="shared" si="79"/>
        <v>0</v>
      </c>
      <c r="K278" s="516"/>
      <c r="L278" s="515">
        <f t="shared" si="80"/>
        <v>0</v>
      </c>
      <c r="M278" s="516"/>
      <c r="P278" s="99" t="s">
        <v>1268</v>
      </c>
      <c r="Q278" s="567">
        <v>8793</v>
      </c>
      <c r="R278" s="567">
        <v>0</v>
      </c>
      <c r="S278" s="567">
        <v>0</v>
      </c>
      <c r="T278" s="567">
        <v>8793</v>
      </c>
      <c r="U278" s="567">
        <v>2959489</v>
      </c>
      <c r="V278" s="567">
        <v>229505</v>
      </c>
      <c r="W278" s="567">
        <v>0</v>
      </c>
      <c r="X278" s="567">
        <v>3188994</v>
      </c>
      <c r="Y278" s="567">
        <v>495503</v>
      </c>
      <c r="Z278" s="567">
        <v>0</v>
      </c>
      <c r="AA278" s="567">
        <v>0</v>
      </c>
      <c r="AB278" s="567">
        <v>495503</v>
      </c>
      <c r="AC278" s="567">
        <v>0</v>
      </c>
      <c r="AD278" s="567">
        <v>0</v>
      </c>
      <c r="AE278" s="567">
        <v>0</v>
      </c>
      <c r="AF278" s="567">
        <v>0</v>
      </c>
      <c r="AG278" s="567">
        <v>0</v>
      </c>
      <c r="AH278" s="567">
        <v>0</v>
      </c>
      <c r="AI278" s="567">
        <v>0</v>
      </c>
      <c r="AJ278" s="567">
        <v>0</v>
      </c>
      <c r="AK278" s="567">
        <v>205194</v>
      </c>
      <c r="AL278" s="567">
        <v>0</v>
      </c>
      <c r="AM278" s="567">
        <v>0</v>
      </c>
      <c r="AN278" s="583">
        <v>205194</v>
      </c>
      <c r="AO278" s="584"/>
    </row>
    <row r="279" spans="1:41" ht="14">
      <c r="A279" s="520" t="s">
        <v>1269</v>
      </c>
      <c r="B279" s="515">
        <f t="shared" si="75"/>
        <v>0</v>
      </c>
      <c r="C279" s="516"/>
      <c r="D279" s="515">
        <f t="shared" si="76"/>
        <v>0</v>
      </c>
      <c r="E279" s="516"/>
      <c r="F279" s="515">
        <f t="shared" si="77"/>
        <v>0</v>
      </c>
      <c r="G279" s="516"/>
      <c r="H279" s="515">
        <f t="shared" si="78"/>
        <v>0</v>
      </c>
      <c r="I279" s="516"/>
      <c r="J279" s="515">
        <f t="shared" si="79"/>
        <v>0</v>
      </c>
      <c r="K279" s="516"/>
      <c r="L279" s="515">
        <f t="shared" si="80"/>
        <v>0</v>
      </c>
      <c r="M279" s="516"/>
      <c r="P279" s="99" t="s">
        <v>1269</v>
      </c>
      <c r="Q279" s="567">
        <v>0</v>
      </c>
      <c r="R279" s="567">
        <v>0</v>
      </c>
      <c r="S279" s="567">
        <v>0</v>
      </c>
      <c r="T279" s="567">
        <v>0</v>
      </c>
      <c r="U279" s="567">
        <v>0</v>
      </c>
      <c r="V279" s="567">
        <v>0</v>
      </c>
      <c r="W279" s="567">
        <v>0</v>
      </c>
      <c r="X279" s="567">
        <v>0</v>
      </c>
      <c r="Y279" s="567">
        <v>0</v>
      </c>
      <c r="Z279" s="567">
        <v>0</v>
      </c>
      <c r="AA279" s="567">
        <v>0</v>
      </c>
      <c r="AB279" s="567">
        <v>0</v>
      </c>
      <c r="AC279" s="567">
        <v>0</v>
      </c>
      <c r="AD279" s="567">
        <v>0</v>
      </c>
      <c r="AE279" s="567">
        <v>0</v>
      </c>
      <c r="AF279" s="567">
        <v>0</v>
      </c>
      <c r="AG279" s="567">
        <v>0</v>
      </c>
      <c r="AH279" s="567">
        <v>0</v>
      </c>
      <c r="AI279" s="567">
        <v>0</v>
      </c>
      <c r="AJ279" s="567">
        <v>0</v>
      </c>
      <c r="AK279" s="567">
        <v>0</v>
      </c>
      <c r="AL279" s="567">
        <v>0</v>
      </c>
      <c r="AM279" s="567">
        <v>0</v>
      </c>
      <c r="AN279" s="583">
        <v>0</v>
      </c>
      <c r="AO279" s="584"/>
    </row>
    <row r="280" spans="1:41" ht="14">
      <c r="A280" s="518" t="s">
        <v>1270</v>
      </c>
      <c r="B280" s="515">
        <f t="shared" si="75"/>
        <v>0</v>
      </c>
      <c r="C280" s="516"/>
      <c r="D280" s="515">
        <f t="shared" si="76"/>
        <v>0</v>
      </c>
      <c r="E280" s="516"/>
      <c r="F280" s="515">
        <f t="shared" si="77"/>
        <v>0</v>
      </c>
      <c r="G280" s="516"/>
      <c r="H280" s="515">
        <f t="shared" si="78"/>
        <v>0</v>
      </c>
      <c r="I280" s="516"/>
      <c r="J280" s="515">
        <f t="shared" si="79"/>
        <v>0</v>
      </c>
      <c r="K280" s="516"/>
      <c r="L280" s="515">
        <f t="shared" si="80"/>
        <v>0</v>
      </c>
      <c r="M280" s="516"/>
      <c r="P280" s="568" t="s">
        <v>1270</v>
      </c>
      <c r="Q280" s="567">
        <v>0</v>
      </c>
      <c r="R280" s="567">
        <v>0</v>
      </c>
      <c r="S280" s="567">
        <v>0</v>
      </c>
      <c r="T280" s="567">
        <v>0</v>
      </c>
      <c r="U280" s="567">
        <v>0</v>
      </c>
      <c r="V280" s="567">
        <v>0</v>
      </c>
      <c r="W280" s="567">
        <v>0</v>
      </c>
      <c r="X280" s="567">
        <v>0</v>
      </c>
      <c r="Y280" s="567">
        <v>0</v>
      </c>
      <c r="Z280" s="567">
        <v>0</v>
      </c>
      <c r="AA280" s="567">
        <v>0</v>
      </c>
      <c r="AB280" s="567">
        <v>0</v>
      </c>
      <c r="AC280" s="567">
        <v>0</v>
      </c>
      <c r="AD280" s="567">
        <v>0</v>
      </c>
      <c r="AE280" s="567">
        <v>0</v>
      </c>
      <c r="AF280" s="567">
        <v>0</v>
      </c>
      <c r="AG280" s="567">
        <v>0</v>
      </c>
      <c r="AH280" s="567">
        <v>0</v>
      </c>
      <c r="AI280" s="567">
        <v>0</v>
      </c>
      <c r="AJ280" s="567">
        <v>0</v>
      </c>
      <c r="AK280" s="567">
        <v>0</v>
      </c>
      <c r="AL280" s="567">
        <v>0</v>
      </c>
      <c r="AM280" s="567">
        <v>0</v>
      </c>
      <c r="AN280" s="583">
        <v>0</v>
      </c>
      <c r="AO280" s="584"/>
    </row>
    <row r="281" spans="1:41" ht="14">
      <c r="A281" s="518" t="s">
        <v>1271</v>
      </c>
      <c r="B281" s="515">
        <f t="shared" si="75"/>
        <v>417758.68603775901</v>
      </c>
      <c r="C281" s="516"/>
      <c r="D281" s="515">
        <f t="shared" si="76"/>
        <v>361286.6888627595</v>
      </c>
      <c r="E281" s="516"/>
      <c r="F281" s="515">
        <f t="shared" si="77"/>
        <v>0</v>
      </c>
      <c r="G281" s="516"/>
      <c r="H281" s="515">
        <f t="shared" si="78"/>
        <v>0</v>
      </c>
      <c r="I281" s="516"/>
      <c r="J281" s="515">
        <f t="shared" si="79"/>
        <v>0</v>
      </c>
      <c r="K281" s="516"/>
      <c r="L281" s="515">
        <f t="shared" si="80"/>
        <v>0</v>
      </c>
      <c r="M281" s="516"/>
      <c r="P281" s="568" t="s">
        <v>1271</v>
      </c>
      <c r="Q281" s="567">
        <v>35516</v>
      </c>
      <c r="R281" s="567">
        <v>0</v>
      </c>
      <c r="S281" s="567">
        <v>0</v>
      </c>
      <c r="T281" s="567">
        <v>35516</v>
      </c>
      <c r="U281" s="567">
        <v>30715</v>
      </c>
      <c r="V281" s="567">
        <v>0</v>
      </c>
      <c r="W281" s="567">
        <v>0</v>
      </c>
      <c r="X281" s="567">
        <v>30715</v>
      </c>
      <c r="Y281" s="567">
        <v>0</v>
      </c>
      <c r="Z281" s="567">
        <v>0</v>
      </c>
      <c r="AA281" s="567">
        <v>0</v>
      </c>
      <c r="AB281" s="567">
        <v>0</v>
      </c>
      <c r="AC281" s="567">
        <v>0</v>
      </c>
      <c r="AD281" s="567">
        <v>0</v>
      </c>
      <c r="AE281" s="567">
        <v>0</v>
      </c>
      <c r="AF281" s="567">
        <v>0</v>
      </c>
      <c r="AG281" s="567">
        <v>0</v>
      </c>
      <c r="AH281" s="567">
        <v>0</v>
      </c>
      <c r="AI281" s="567">
        <v>0</v>
      </c>
      <c r="AJ281" s="567">
        <v>0</v>
      </c>
      <c r="AK281" s="567">
        <v>0</v>
      </c>
      <c r="AL281" s="567">
        <v>0</v>
      </c>
      <c r="AM281" s="567">
        <v>0</v>
      </c>
      <c r="AN281" s="583">
        <v>0</v>
      </c>
      <c r="AO281" s="584"/>
    </row>
    <row r="282" spans="1:41" ht="14">
      <c r="A282" s="518" t="s">
        <v>1272</v>
      </c>
      <c r="B282" s="515">
        <f t="shared" si="75"/>
        <v>0</v>
      </c>
      <c r="C282" s="516"/>
      <c r="D282" s="515">
        <f t="shared" si="76"/>
        <v>0</v>
      </c>
      <c r="E282" s="516"/>
      <c r="F282" s="515">
        <f t="shared" si="77"/>
        <v>0</v>
      </c>
      <c r="G282" s="516"/>
      <c r="H282" s="515">
        <f t="shared" si="78"/>
        <v>0</v>
      </c>
      <c r="I282" s="516"/>
      <c r="J282" s="515">
        <f t="shared" si="79"/>
        <v>0</v>
      </c>
      <c r="K282" s="516"/>
      <c r="L282" s="515">
        <f t="shared" si="80"/>
        <v>0</v>
      </c>
      <c r="M282" s="516"/>
      <c r="P282" s="568" t="s">
        <v>1272</v>
      </c>
      <c r="Q282" s="567">
        <v>0</v>
      </c>
      <c r="R282" s="567">
        <v>0</v>
      </c>
      <c r="S282" s="567">
        <v>0</v>
      </c>
      <c r="T282" s="567">
        <v>0</v>
      </c>
      <c r="U282" s="567">
        <v>0</v>
      </c>
      <c r="V282" s="567">
        <v>0</v>
      </c>
      <c r="W282" s="567">
        <v>0</v>
      </c>
      <c r="X282" s="567">
        <v>0</v>
      </c>
      <c r="Y282" s="567">
        <v>0</v>
      </c>
      <c r="Z282" s="567">
        <v>0</v>
      </c>
      <c r="AA282" s="567">
        <v>0</v>
      </c>
      <c r="AB282" s="567">
        <v>0</v>
      </c>
      <c r="AC282" s="567">
        <v>0</v>
      </c>
      <c r="AD282" s="567">
        <v>0</v>
      </c>
      <c r="AE282" s="567">
        <v>0</v>
      </c>
      <c r="AF282" s="567">
        <v>0</v>
      </c>
      <c r="AG282" s="567">
        <v>0</v>
      </c>
      <c r="AH282" s="567">
        <v>0</v>
      </c>
      <c r="AI282" s="567">
        <v>0</v>
      </c>
      <c r="AJ282" s="567">
        <v>0</v>
      </c>
      <c r="AK282" s="567">
        <v>0</v>
      </c>
      <c r="AL282" s="567">
        <v>0</v>
      </c>
      <c r="AM282" s="567">
        <v>0</v>
      </c>
      <c r="AN282" s="583">
        <v>0</v>
      </c>
      <c r="AO282" s="584"/>
    </row>
    <row r="283" spans="1:41" ht="14">
      <c r="A283" s="518" t="s">
        <v>1273</v>
      </c>
      <c r="B283" s="515">
        <f t="shared" si="75"/>
        <v>0</v>
      </c>
      <c r="C283" s="516"/>
      <c r="D283" s="515">
        <f t="shared" si="76"/>
        <v>0</v>
      </c>
      <c r="E283" s="516"/>
      <c r="F283" s="515">
        <f t="shared" si="77"/>
        <v>0</v>
      </c>
      <c r="G283" s="516"/>
      <c r="H283" s="515">
        <f t="shared" si="78"/>
        <v>0</v>
      </c>
      <c r="I283" s="516"/>
      <c r="J283" s="515">
        <f t="shared" si="79"/>
        <v>0</v>
      </c>
      <c r="K283" s="516"/>
      <c r="L283" s="515">
        <f t="shared" si="80"/>
        <v>0</v>
      </c>
      <c r="M283" s="516"/>
      <c r="P283" s="568" t="s">
        <v>1273</v>
      </c>
      <c r="Q283" s="567">
        <v>0</v>
      </c>
      <c r="R283" s="567">
        <v>0</v>
      </c>
      <c r="S283" s="567">
        <v>0</v>
      </c>
      <c r="T283" s="567">
        <v>0</v>
      </c>
      <c r="U283" s="567">
        <v>0</v>
      </c>
      <c r="V283" s="567">
        <v>0</v>
      </c>
      <c r="W283" s="567">
        <v>0</v>
      </c>
      <c r="X283" s="567">
        <v>0</v>
      </c>
      <c r="Y283" s="567">
        <v>0</v>
      </c>
      <c r="Z283" s="567">
        <v>0</v>
      </c>
      <c r="AA283" s="567">
        <v>0</v>
      </c>
      <c r="AB283" s="567">
        <v>0</v>
      </c>
      <c r="AC283" s="567">
        <v>0</v>
      </c>
      <c r="AD283" s="567">
        <v>0</v>
      </c>
      <c r="AE283" s="567">
        <v>0</v>
      </c>
      <c r="AF283" s="567">
        <v>0</v>
      </c>
      <c r="AG283" s="567">
        <v>0</v>
      </c>
      <c r="AH283" s="567">
        <v>0</v>
      </c>
      <c r="AI283" s="567">
        <v>0</v>
      </c>
      <c r="AJ283" s="567">
        <v>0</v>
      </c>
      <c r="AK283" s="567">
        <v>0</v>
      </c>
      <c r="AL283" s="567">
        <v>0</v>
      </c>
      <c r="AM283" s="567">
        <v>0</v>
      </c>
      <c r="AN283" s="583">
        <v>0</v>
      </c>
      <c r="AO283" s="584"/>
    </row>
    <row r="284" spans="1:41" ht="14">
      <c r="A284" s="518" t="s">
        <v>1274</v>
      </c>
      <c r="B284" s="515">
        <f t="shared" si="75"/>
        <v>0</v>
      </c>
      <c r="C284" s="516"/>
      <c r="D284" s="515">
        <f t="shared" si="76"/>
        <v>0</v>
      </c>
      <c r="E284" s="516"/>
      <c r="F284" s="515">
        <f t="shared" si="77"/>
        <v>0</v>
      </c>
      <c r="G284" s="516"/>
      <c r="H284" s="515">
        <f t="shared" si="78"/>
        <v>0</v>
      </c>
      <c r="I284" s="516"/>
      <c r="J284" s="515">
        <f t="shared" si="79"/>
        <v>0</v>
      </c>
      <c r="K284" s="516"/>
      <c r="L284" s="515">
        <f t="shared" si="80"/>
        <v>0</v>
      </c>
      <c r="M284" s="516"/>
      <c r="P284" s="568" t="s">
        <v>1274</v>
      </c>
      <c r="Q284" s="567">
        <v>0</v>
      </c>
      <c r="R284" s="567">
        <v>0</v>
      </c>
      <c r="S284" s="567">
        <v>0</v>
      </c>
      <c r="T284" s="567">
        <v>0</v>
      </c>
      <c r="U284" s="567">
        <v>0</v>
      </c>
      <c r="V284" s="567">
        <v>0</v>
      </c>
      <c r="W284" s="567">
        <v>0</v>
      </c>
      <c r="X284" s="567">
        <v>0</v>
      </c>
      <c r="Y284" s="567">
        <v>0</v>
      </c>
      <c r="Z284" s="567">
        <v>0</v>
      </c>
      <c r="AA284" s="567">
        <v>0</v>
      </c>
      <c r="AB284" s="567">
        <v>0</v>
      </c>
      <c r="AC284" s="567">
        <v>0</v>
      </c>
      <c r="AD284" s="567">
        <v>0</v>
      </c>
      <c r="AE284" s="567">
        <v>0</v>
      </c>
      <c r="AF284" s="567">
        <v>0</v>
      </c>
      <c r="AG284" s="567">
        <v>0</v>
      </c>
      <c r="AH284" s="567">
        <v>0</v>
      </c>
      <c r="AI284" s="567">
        <v>0</v>
      </c>
      <c r="AJ284" s="567">
        <v>0</v>
      </c>
      <c r="AK284" s="567">
        <v>0</v>
      </c>
      <c r="AL284" s="567">
        <v>0</v>
      </c>
      <c r="AM284" s="567">
        <v>0</v>
      </c>
      <c r="AN284" s="583">
        <v>0</v>
      </c>
      <c r="AO284" s="584"/>
    </row>
    <row r="285" spans="1:41" ht="14">
      <c r="A285" s="518" t="s">
        <v>1275</v>
      </c>
      <c r="B285" s="515">
        <f t="shared" si="75"/>
        <v>0</v>
      </c>
      <c r="C285" s="516"/>
      <c r="D285" s="515">
        <f t="shared" si="76"/>
        <v>0</v>
      </c>
      <c r="E285" s="516"/>
      <c r="F285" s="515">
        <f t="shared" si="77"/>
        <v>0</v>
      </c>
      <c r="G285" s="516"/>
      <c r="H285" s="515">
        <f t="shared" si="78"/>
        <v>0</v>
      </c>
      <c r="I285" s="516"/>
      <c r="J285" s="515">
        <f t="shared" si="79"/>
        <v>0</v>
      </c>
      <c r="K285" s="516"/>
      <c r="L285" s="515">
        <f t="shared" si="80"/>
        <v>0</v>
      </c>
      <c r="M285" s="516"/>
      <c r="P285" s="568" t="s">
        <v>1275</v>
      </c>
      <c r="Q285" s="567">
        <v>0</v>
      </c>
      <c r="R285" s="567">
        <v>0</v>
      </c>
      <c r="S285" s="567">
        <v>0</v>
      </c>
      <c r="T285" s="567">
        <v>0</v>
      </c>
      <c r="U285" s="567">
        <v>0</v>
      </c>
      <c r="V285" s="567">
        <v>0</v>
      </c>
      <c r="W285" s="567">
        <v>0</v>
      </c>
      <c r="X285" s="567">
        <v>0</v>
      </c>
      <c r="Y285" s="567">
        <v>0</v>
      </c>
      <c r="Z285" s="567">
        <v>0</v>
      </c>
      <c r="AA285" s="567">
        <v>0</v>
      </c>
      <c r="AB285" s="567">
        <v>0</v>
      </c>
      <c r="AC285" s="567">
        <v>0</v>
      </c>
      <c r="AD285" s="567">
        <v>0</v>
      </c>
      <c r="AE285" s="567">
        <v>0</v>
      </c>
      <c r="AF285" s="567">
        <v>0</v>
      </c>
      <c r="AG285" s="567">
        <v>0</v>
      </c>
      <c r="AH285" s="567">
        <v>0</v>
      </c>
      <c r="AI285" s="567">
        <v>0</v>
      </c>
      <c r="AJ285" s="567">
        <v>0</v>
      </c>
      <c r="AK285" s="567">
        <v>0</v>
      </c>
      <c r="AL285" s="567">
        <v>0</v>
      </c>
      <c r="AM285" s="567">
        <v>0</v>
      </c>
      <c r="AN285" s="583">
        <v>0</v>
      </c>
      <c r="AO285" s="584"/>
    </row>
    <row r="286" spans="1:41" ht="14">
      <c r="A286" s="99" t="s">
        <v>1276</v>
      </c>
      <c r="B286" s="515">
        <f t="shared" si="75"/>
        <v>0</v>
      </c>
      <c r="C286" s="516"/>
      <c r="D286" s="515">
        <f t="shared" si="76"/>
        <v>0</v>
      </c>
      <c r="E286" s="516"/>
      <c r="F286" s="515">
        <f t="shared" si="77"/>
        <v>0</v>
      </c>
      <c r="G286" s="516"/>
      <c r="H286" s="515">
        <f t="shared" si="78"/>
        <v>0</v>
      </c>
      <c r="I286" s="516"/>
      <c r="J286" s="515">
        <f t="shared" si="79"/>
        <v>0</v>
      </c>
      <c r="K286" s="516"/>
      <c r="L286" s="515">
        <f t="shared" si="80"/>
        <v>0</v>
      </c>
      <c r="M286" s="516"/>
      <c r="P286" s="99" t="s">
        <v>1276</v>
      </c>
      <c r="Q286" s="567">
        <v>0</v>
      </c>
      <c r="R286" s="567">
        <v>0</v>
      </c>
      <c r="S286" s="567">
        <v>0</v>
      </c>
      <c r="T286" s="567">
        <v>0</v>
      </c>
      <c r="U286" s="567">
        <v>0</v>
      </c>
      <c r="V286" s="567">
        <v>0</v>
      </c>
      <c r="W286" s="567">
        <v>0</v>
      </c>
      <c r="X286" s="567">
        <v>0</v>
      </c>
      <c r="Y286" s="567">
        <v>0</v>
      </c>
      <c r="Z286" s="567">
        <v>0</v>
      </c>
      <c r="AA286" s="567">
        <v>0</v>
      </c>
      <c r="AB286" s="567">
        <v>0</v>
      </c>
      <c r="AC286" s="567">
        <v>0</v>
      </c>
      <c r="AD286" s="567">
        <v>0</v>
      </c>
      <c r="AE286" s="567">
        <v>0</v>
      </c>
      <c r="AF286" s="567">
        <v>0</v>
      </c>
      <c r="AG286" s="567">
        <v>0</v>
      </c>
      <c r="AH286" s="567">
        <v>0</v>
      </c>
      <c r="AI286" s="567">
        <v>0</v>
      </c>
      <c r="AJ286" s="567">
        <v>0</v>
      </c>
      <c r="AK286" s="567">
        <v>0</v>
      </c>
      <c r="AL286" s="567">
        <v>0</v>
      </c>
      <c r="AM286" s="567">
        <v>0</v>
      </c>
      <c r="AN286" s="583">
        <v>0</v>
      </c>
      <c r="AO286" s="584"/>
    </row>
    <row r="287" spans="1:41" ht="14">
      <c r="A287" s="518" t="s">
        <v>1277</v>
      </c>
      <c r="B287" s="515">
        <f t="shared" si="75"/>
        <v>0</v>
      </c>
      <c r="C287" s="516"/>
      <c r="D287" s="515">
        <f t="shared" si="76"/>
        <v>0</v>
      </c>
      <c r="E287" s="516"/>
      <c r="F287" s="515">
        <f t="shared" si="77"/>
        <v>0</v>
      </c>
      <c r="G287" s="516"/>
      <c r="H287" s="515">
        <f t="shared" si="78"/>
        <v>0</v>
      </c>
      <c r="I287" s="516"/>
      <c r="J287" s="515">
        <f t="shared" si="79"/>
        <v>0</v>
      </c>
      <c r="K287" s="516"/>
      <c r="L287" s="515">
        <f t="shared" si="80"/>
        <v>0</v>
      </c>
      <c r="M287" s="516"/>
      <c r="P287" s="568" t="s">
        <v>1277</v>
      </c>
      <c r="Q287" s="567">
        <v>0</v>
      </c>
      <c r="R287" s="567">
        <v>0</v>
      </c>
      <c r="S287" s="567">
        <v>0</v>
      </c>
      <c r="T287" s="567">
        <v>0</v>
      </c>
      <c r="U287" s="567">
        <v>0</v>
      </c>
      <c r="V287" s="567">
        <v>0</v>
      </c>
      <c r="W287" s="567">
        <v>0</v>
      </c>
      <c r="X287" s="567">
        <v>0</v>
      </c>
      <c r="Y287" s="567">
        <v>0</v>
      </c>
      <c r="Z287" s="567">
        <v>0</v>
      </c>
      <c r="AA287" s="567">
        <v>0</v>
      </c>
      <c r="AB287" s="567">
        <v>0</v>
      </c>
      <c r="AC287" s="567">
        <v>0</v>
      </c>
      <c r="AD287" s="567">
        <v>0</v>
      </c>
      <c r="AE287" s="567">
        <v>0</v>
      </c>
      <c r="AF287" s="567">
        <v>0</v>
      </c>
      <c r="AG287" s="567">
        <v>0</v>
      </c>
      <c r="AH287" s="567">
        <v>0</v>
      </c>
      <c r="AI287" s="567">
        <v>0</v>
      </c>
      <c r="AJ287" s="567">
        <v>0</v>
      </c>
      <c r="AK287" s="567">
        <v>0</v>
      </c>
      <c r="AL287" s="567">
        <v>0</v>
      </c>
      <c r="AM287" s="567">
        <v>0</v>
      </c>
      <c r="AN287" s="583">
        <v>0</v>
      </c>
      <c r="AO287" s="584"/>
    </row>
    <row r="288" spans="1:41" ht="14">
      <c r="A288" s="518" t="s">
        <v>1278</v>
      </c>
      <c r="B288" s="515">
        <f t="shared" si="75"/>
        <v>0</v>
      </c>
      <c r="C288" s="516"/>
      <c r="D288" s="515">
        <f t="shared" si="76"/>
        <v>0</v>
      </c>
      <c r="E288" s="516"/>
      <c r="F288" s="515">
        <f t="shared" si="77"/>
        <v>0</v>
      </c>
      <c r="G288" s="516"/>
      <c r="H288" s="515">
        <f t="shared" si="78"/>
        <v>0</v>
      </c>
      <c r="I288" s="516"/>
      <c r="J288" s="515">
        <f t="shared" si="79"/>
        <v>0</v>
      </c>
      <c r="K288" s="516"/>
      <c r="L288" s="515">
        <f t="shared" si="80"/>
        <v>0</v>
      </c>
      <c r="M288" s="516"/>
      <c r="P288" s="568" t="s">
        <v>1278</v>
      </c>
      <c r="Q288" s="567">
        <v>46251</v>
      </c>
      <c r="R288" s="567">
        <v>0</v>
      </c>
      <c r="S288" s="567">
        <v>0</v>
      </c>
      <c r="T288" s="567">
        <v>46251</v>
      </c>
      <c r="U288" s="567">
        <v>270419</v>
      </c>
      <c r="V288" s="567">
        <v>0</v>
      </c>
      <c r="W288" s="567">
        <v>0</v>
      </c>
      <c r="X288" s="567">
        <v>270419</v>
      </c>
      <c r="Y288" s="567">
        <v>0</v>
      </c>
      <c r="Z288" s="567">
        <v>0</v>
      </c>
      <c r="AA288" s="567">
        <v>0</v>
      </c>
      <c r="AB288" s="567">
        <v>0</v>
      </c>
      <c r="AC288" s="567">
        <v>0</v>
      </c>
      <c r="AD288" s="567">
        <v>0</v>
      </c>
      <c r="AE288" s="567">
        <v>0</v>
      </c>
      <c r="AF288" s="567">
        <v>0</v>
      </c>
      <c r="AG288" s="567">
        <v>0</v>
      </c>
      <c r="AH288" s="567">
        <v>0</v>
      </c>
      <c r="AI288" s="567">
        <v>0</v>
      </c>
      <c r="AJ288" s="567">
        <v>0</v>
      </c>
      <c r="AK288" s="567">
        <v>0</v>
      </c>
      <c r="AL288" s="567">
        <v>0</v>
      </c>
      <c r="AM288" s="567">
        <v>0</v>
      </c>
      <c r="AN288" s="583">
        <v>0</v>
      </c>
      <c r="AO288" s="584"/>
    </row>
    <row r="289" spans="1:43" ht="14.5" thickBot="1">
      <c r="A289" s="530" t="s">
        <v>1279</v>
      </c>
      <c r="B289" s="515">
        <f t="shared" si="75"/>
        <v>0</v>
      </c>
      <c r="C289" s="516"/>
      <c r="D289" s="515">
        <f t="shared" si="76"/>
        <v>0</v>
      </c>
      <c r="E289" s="516"/>
      <c r="F289" s="515">
        <f t="shared" si="77"/>
        <v>0</v>
      </c>
      <c r="G289" s="516"/>
      <c r="H289" s="515">
        <f t="shared" si="78"/>
        <v>0</v>
      </c>
      <c r="I289" s="516"/>
      <c r="J289" s="515">
        <f t="shared" si="79"/>
        <v>0</v>
      </c>
      <c r="K289" s="516"/>
      <c r="L289" s="515">
        <f t="shared" si="80"/>
        <v>0</v>
      </c>
      <c r="M289" s="516"/>
      <c r="P289" s="568" t="s">
        <v>1279</v>
      </c>
      <c r="Q289" s="567">
        <v>0</v>
      </c>
      <c r="R289" s="585">
        <v>0</v>
      </c>
      <c r="S289" s="585">
        <v>0</v>
      </c>
      <c r="T289" s="585">
        <v>0</v>
      </c>
      <c r="U289" s="585">
        <v>0</v>
      </c>
      <c r="V289" s="585">
        <v>0</v>
      </c>
      <c r="W289" s="585">
        <v>0</v>
      </c>
      <c r="X289" s="585">
        <v>0</v>
      </c>
      <c r="Y289" s="585">
        <v>0</v>
      </c>
      <c r="Z289" s="585">
        <v>0</v>
      </c>
      <c r="AA289" s="585">
        <v>0</v>
      </c>
      <c r="AB289" s="585">
        <v>0</v>
      </c>
      <c r="AC289" s="585">
        <v>0</v>
      </c>
      <c r="AD289" s="585">
        <v>0</v>
      </c>
      <c r="AE289" s="585">
        <v>0</v>
      </c>
      <c r="AF289" s="585">
        <v>0</v>
      </c>
      <c r="AG289" s="585">
        <v>0</v>
      </c>
      <c r="AH289" s="585">
        <v>0</v>
      </c>
      <c r="AI289" s="585">
        <v>0</v>
      </c>
      <c r="AJ289" s="585">
        <v>0</v>
      </c>
      <c r="AK289" s="585">
        <v>0</v>
      </c>
      <c r="AL289" s="585">
        <v>0</v>
      </c>
      <c r="AM289" s="585">
        <v>0</v>
      </c>
      <c r="AN289" s="586">
        <v>0</v>
      </c>
      <c r="AO289" s="584"/>
    </row>
    <row r="290" spans="1:43" ht="14.5" thickBot="1">
      <c r="A290" s="530" t="s">
        <v>2303</v>
      </c>
      <c r="B290" s="515"/>
      <c r="C290" s="516"/>
      <c r="D290" s="515"/>
      <c r="E290" s="516"/>
      <c r="F290" s="515"/>
      <c r="G290" s="516"/>
      <c r="H290" s="515"/>
      <c r="I290" s="516"/>
      <c r="J290" s="515"/>
      <c r="K290" s="516"/>
      <c r="L290" s="515"/>
      <c r="M290" s="516"/>
      <c r="P290" s="579" t="s">
        <v>3690</v>
      </c>
      <c r="Q290" s="567">
        <v>0</v>
      </c>
      <c r="R290" s="585">
        <v>0</v>
      </c>
      <c r="S290" s="585">
        <v>0</v>
      </c>
      <c r="T290" s="585">
        <v>0</v>
      </c>
      <c r="U290" s="585">
        <v>0</v>
      </c>
      <c r="V290" s="585">
        <v>0</v>
      </c>
      <c r="W290" s="585">
        <v>0</v>
      </c>
      <c r="X290" s="585">
        <v>0</v>
      </c>
      <c r="Y290" s="585">
        <v>0</v>
      </c>
      <c r="Z290" s="585">
        <v>0</v>
      </c>
      <c r="AA290" s="585">
        <v>0</v>
      </c>
      <c r="AB290" s="585">
        <v>0</v>
      </c>
      <c r="AC290" s="585">
        <v>0</v>
      </c>
      <c r="AD290" s="585">
        <v>0</v>
      </c>
      <c r="AE290" s="585">
        <v>0</v>
      </c>
      <c r="AF290" s="585">
        <v>0</v>
      </c>
      <c r="AG290" s="585">
        <v>0</v>
      </c>
      <c r="AH290" s="585">
        <v>0</v>
      </c>
      <c r="AI290" s="585">
        <v>0</v>
      </c>
      <c r="AJ290" s="585">
        <v>0</v>
      </c>
      <c r="AK290" s="585">
        <v>2809860</v>
      </c>
      <c r="AL290" s="585">
        <v>0</v>
      </c>
      <c r="AM290" s="587">
        <v>0</v>
      </c>
      <c r="AN290" s="588">
        <v>2809860</v>
      </c>
      <c r="AO290" s="543">
        <f>AN290</f>
        <v>2809860</v>
      </c>
    </row>
    <row r="291" spans="1:43" ht="14.5" thickBot="1">
      <c r="A291" s="523"/>
      <c r="B291" s="531"/>
      <c r="C291" s="531"/>
      <c r="D291" s="531"/>
      <c r="E291" s="531"/>
      <c r="F291" s="531"/>
      <c r="G291" s="531"/>
      <c r="H291" s="531"/>
      <c r="I291" s="531"/>
      <c r="J291" s="531"/>
      <c r="K291" s="531"/>
      <c r="L291" s="531"/>
      <c r="M291" s="531"/>
      <c r="P291" s="569" t="s">
        <v>190</v>
      </c>
      <c r="Q291" s="589">
        <v>207615</v>
      </c>
      <c r="R291" s="590">
        <v>0</v>
      </c>
      <c r="S291" s="591">
        <v>0</v>
      </c>
      <c r="T291" s="592">
        <v>216201</v>
      </c>
      <c r="U291" s="590">
        <v>3134117</v>
      </c>
      <c r="V291" s="590">
        <v>229505</v>
      </c>
      <c r="W291" s="591">
        <v>0</v>
      </c>
      <c r="X291" s="592">
        <v>3490128</v>
      </c>
      <c r="Y291" s="590">
        <v>252065</v>
      </c>
      <c r="Z291" s="590">
        <v>0</v>
      </c>
      <c r="AA291" s="591">
        <v>0</v>
      </c>
      <c r="AB291" s="592">
        <v>495503</v>
      </c>
      <c r="AC291" s="590">
        <v>0</v>
      </c>
      <c r="AD291" s="590">
        <v>0</v>
      </c>
      <c r="AE291" s="591">
        <v>0</v>
      </c>
      <c r="AF291" s="592">
        <v>0</v>
      </c>
      <c r="AG291" s="590">
        <v>0</v>
      </c>
      <c r="AH291" s="590">
        <v>0</v>
      </c>
      <c r="AI291" s="591">
        <v>0</v>
      </c>
      <c r="AJ291" s="592">
        <v>0</v>
      </c>
      <c r="AK291" s="590">
        <v>1711701</v>
      </c>
      <c r="AL291" s="590">
        <v>0</v>
      </c>
      <c r="AM291" s="591">
        <v>0</v>
      </c>
      <c r="AN291" s="593">
        <v>3015054</v>
      </c>
      <c r="AO291" s="97">
        <f>T291+X291+AB291+AF291+AJ291+AN291</f>
        <v>7216886</v>
      </c>
    </row>
    <row r="292" spans="1:43" ht="14">
      <c r="A292" s="547"/>
      <c r="B292" s="534"/>
      <c r="C292" s="534"/>
      <c r="D292" s="534"/>
      <c r="E292" s="534"/>
      <c r="I292" s="534"/>
      <c r="J292" s="534"/>
      <c r="K292" s="534"/>
      <c r="L292" s="534"/>
      <c r="M292" s="534"/>
      <c r="N292" s="534"/>
    </row>
    <row r="293" spans="1:43" ht="13.5" thickBot="1">
      <c r="C293" s="40"/>
      <c r="D293" s="40"/>
      <c r="E293" s="36"/>
      <c r="G293" s="36"/>
      <c r="H293" s="36"/>
      <c r="I293" s="36"/>
      <c r="J293" s="36"/>
      <c r="M293" s="522"/>
      <c r="N293" s="522"/>
    </row>
    <row r="294" spans="1:43" ht="14.5" thickBot="1">
      <c r="C294" s="45"/>
      <c r="D294" s="45"/>
      <c r="E294" s="45"/>
      <c r="F294" s="46"/>
      <c r="G294" s="548"/>
      <c r="H294" s="549"/>
      <c r="I294" s="549"/>
      <c r="J294" s="549"/>
      <c r="M294" s="522"/>
      <c r="N294" s="522"/>
      <c r="P294" s="805" t="s">
        <v>2751</v>
      </c>
      <c r="Q294" s="845" t="s">
        <v>1547</v>
      </c>
      <c r="R294" s="845"/>
      <c r="S294" s="845"/>
      <c r="T294" s="845"/>
      <c r="U294" s="845"/>
      <c r="V294" s="845"/>
      <c r="W294" s="845"/>
      <c r="X294" s="845"/>
      <c r="Y294" s="845"/>
      <c r="Z294" s="845"/>
      <c r="AA294" s="845"/>
      <c r="AB294" s="845"/>
      <c r="AC294" s="845"/>
      <c r="AD294" s="845"/>
      <c r="AE294" s="845"/>
      <c r="AF294" s="845"/>
      <c r="AG294" s="845"/>
      <c r="AH294" s="845"/>
      <c r="AI294" s="845"/>
      <c r="AJ294" s="845"/>
      <c r="AK294" s="845"/>
      <c r="AL294" s="845"/>
      <c r="AM294" s="845"/>
      <c r="AN294" s="845"/>
      <c r="AO294" s="845"/>
      <c r="AP294" s="845"/>
      <c r="AQ294" s="845"/>
    </row>
    <row r="295" spans="1:43" ht="14.5" thickBot="1">
      <c r="H295" s="41"/>
      <c r="I295" s="25"/>
      <c r="J295" s="25"/>
      <c r="L295" s="526"/>
      <c r="M295" s="522"/>
      <c r="N295" s="522"/>
      <c r="P295" s="806"/>
      <c r="Q295" s="841" t="s">
        <v>226</v>
      </c>
      <c r="R295" s="841"/>
      <c r="S295" s="841"/>
      <c r="T295" s="841" t="s">
        <v>206</v>
      </c>
      <c r="U295" s="841"/>
      <c r="V295" s="841"/>
      <c r="W295" s="841" t="s">
        <v>222</v>
      </c>
      <c r="X295" s="841"/>
      <c r="Y295" s="841"/>
      <c r="Z295" s="841" t="s">
        <v>223</v>
      </c>
      <c r="AA295" s="841"/>
      <c r="AB295" s="841"/>
      <c r="AC295" s="841" t="s">
        <v>225</v>
      </c>
      <c r="AD295" s="841"/>
      <c r="AE295" s="841"/>
      <c r="AF295" s="841" t="s">
        <v>224</v>
      </c>
      <c r="AG295" s="841"/>
      <c r="AH295" s="841"/>
      <c r="AI295" s="841" t="s">
        <v>227</v>
      </c>
      <c r="AJ295" s="841"/>
      <c r="AK295" s="841"/>
      <c r="AL295" s="841" t="s">
        <v>2510</v>
      </c>
      <c r="AM295" s="841"/>
      <c r="AN295" s="841"/>
      <c r="AO295" s="842" t="s">
        <v>228</v>
      </c>
      <c r="AP295" s="843"/>
      <c r="AQ295" s="844"/>
    </row>
    <row r="296" spans="1:43" ht="14">
      <c r="C296" s="40"/>
      <c r="D296" s="40"/>
      <c r="E296" s="36"/>
      <c r="G296" s="36"/>
      <c r="H296" s="47"/>
      <c r="I296" s="47"/>
      <c r="J296" s="47"/>
      <c r="L296" s="526"/>
      <c r="M296" s="522"/>
      <c r="N296" s="522"/>
      <c r="P296" s="98" t="s">
        <v>1546</v>
      </c>
      <c r="Q296" s="99"/>
      <c r="R296" s="550"/>
      <c r="S296" s="551">
        <f>S113+T138+S163+S188+S213+S239+T265+T291</f>
        <v>4295945</v>
      </c>
      <c r="T296" s="99"/>
      <c r="U296" s="550"/>
      <c r="V296" s="551">
        <f>V88+X138+V163+V188+V213+V239+X265+X291+Q52</f>
        <v>16154902</v>
      </c>
      <c r="W296" s="99"/>
      <c r="X296" s="550"/>
      <c r="Y296" s="552">
        <f>Y88+Y113+Y163+Y188+Y213+Y239+AB265+AB291</f>
        <v>1501953</v>
      </c>
      <c r="Z296" s="99"/>
      <c r="AA296" s="550"/>
      <c r="AB296" s="552">
        <f>AB88+AB113+AF138+AB188+AB213+AB239+AF265+AF291</f>
        <v>444557</v>
      </c>
      <c r="AC296" s="99"/>
      <c r="AD296" s="550"/>
      <c r="AE296" s="552">
        <f>AE88+AE113+AJ138+AE163+AE213+AE239+AJ265+AI291</f>
        <v>905426</v>
      </c>
      <c r="AF296" s="99"/>
      <c r="AG296" s="550"/>
      <c r="AH296" s="552">
        <f>AH88+AH113+AN138+AH163+AH188+AH239+AN265+AN291</f>
        <v>4450001</v>
      </c>
      <c r="AI296" s="99"/>
      <c r="AJ296" s="550"/>
      <c r="AK296" s="101" t="s">
        <v>1315</v>
      </c>
      <c r="AL296" s="553"/>
      <c r="AM296" s="554"/>
      <c r="AN296" s="101" t="s">
        <v>1315</v>
      </c>
      <c r="AO296" s="553"/>
      <c r="AP296" s="554"/>
      <c r="AQ296" s="101" t="s">
        <v>1315</v>
      </c>
    </row>
    <row r="297" spans="1:43" ht="14">
      <c r="C297" s="45"/>
      <c r="D297" s="45"/>
      <c r="E297" s="45"/>
      <c r="F297" s="46"/>
      <c r="G297" s="548"/>
      <c r="H297" s="45"/>
      <c r="I297" s="45"/>
      <c r="J297" s="45"/>
      <c r="K297" s="555"/>
      <c r="L297" s="522"/>
      <c r="M297" s="522"/>
      <c r="N297" s="522"/>
      <c r="P297" s="99" t="s">
        <v>1548</v>
      </c>
      <c r="Q297" s="99"/>
      <c r="R297" s="550"/>
      <c r="S297" s="551">
        <f>V88+Y88+AB88+AE88+AH88</f>
        <v>2236335</v>
      </c>
      <c r="T297" s="99"/>
      <c r="U297" s="550"/>
      <c r="V297" s="551">
        <f>S113+Y113+AB113+AE113+AH113</f>
        <v>524075</v>
      </c>
      <c r="W297" s="99"/>
      <c r="X297" s="550"/>
      <c r="Y297" s="552">
        <f>T138+X138+AF138+AJ138+AN138</f>
        <v>4632137</v>
      </c>
      <c r="Z297" s="99"/>
      <c r="AA297" s="550"/>
      <c r="AB297" s="552">
        <f>S163+V163+Y163+AE163+AH163</f>
        <v>6608964</v>
      </c>
      <c r="AC297" s="99"/>
      <c r="AD297" s="550"/>
      <c r="AE297" s="552">
        <f>S188+V188+Y188+AB188+AH188</f>
        <v>281331</v>
      </c>
      <c r="AF297" s="99"/>
      <c r="AG297" s="550"/>
      <c r="AH297" s="552">
        <f>S213+V213+Y213+AB213+AE213</f>
        <v>1878773</v>
      </c>
      <c r="AI297" s="99"/>
      <c r="AJ297" s="550"/>
      <c r="AK297" s="552">
        <f>S239+V239+Y239+AB239+AE239+AH239+Q52</f>
        <v>3927149</v>
      </c>
      <c r="AL297" s="99"/>
      <c r="AM297" s="550"/>
      <c r="AN297" s="552">
        <f>T265+X265+AB265+AF265+AJ265+AN265</f>
        <v>447134</v>
      </c>
      <c r="AO297" s="99"/>
      <c r="AP297" s="550"/>
      <c r="AQ297" s="552">
        <f>T291+X291+AB291+AF291+AJ291+AN291</f>
        <v>7216886</v>
      </c>
    </row>
    <row r="298" spans="1:43" ht="14">
      <c r="A298" s="526"/>
      <c r="B298" s="526"/>
      <c r="C298" s="45"/>
      <c r="D298" s="45"/>
      <c r="E298" s="45"/>
      <c r="F298" s="46"/>
      <c r="G298" s="548"/>
      <c r="H298" s="45"/>
      <c r="I298" s="45"/>
      <c r="J298" s="45"/>
      <c r="K298" s="555"/>
      <c r="L298" s="522"/>
      <c r="M298" s="522"/>
      <c r="N298" s="522"/>
      <c r="P298" s="99" t="s">
        <v>2602</v>
      </c>
      <c r="Q298" s="98"/>
      <c r="R298" s="148"/>
      <c r="S298" s="556">
        <f>R88+U88+X88+AA88+AD88+AG88</f>
        <v>1064856</v>
      </c>
      <c r="T298" s="98"/>
      <c r="U298" s="148"/>
      <c r="V298" s="556">
        <f>R113+U113+X113+AA113+AD113+AG113</f>
        <v>2892213</v>
      </c>
      <c r="W298" s="98"/>
      <c r="X298" s="148"/>
      <c r="Y298" s="557">
        <f>R138+V138+Z138+AD138+AH138+AL138</f>
        <v>882656</v>
      </c>
      <c r="Z298" s="98"/>
      <c r="AA298" s="148"/>
      <c r="AB298" s="557">
        <f>R163+U163+X163+AA163+AD163+AG163</f>
        <v>276327</v>
      </c>
      <c r="AC298" s="98"/>
      <c r="AD298" s="148"/>
      <c r="AE298" s="557">
        <f>R188+U188+X188+AA188+AD188+AG188</f>
        <v>188801</v>
      </c>
      <c r="AF298" s="98"/>
      <c r="AG298" s="148"/>
      <c r="AH298" s="557">
        <f>R213+U213+X213+AA213+AD213+AG213</f>
        <v>552529</v>
      </c>
      <c r="AI298" s="98"/>
      <c r="AJ298" s="148"/>
      <c r="AK298" s="100" t="s">
        <v>1315</v>
      </c>
      <c r="AL298" s="558"/>
      <c r="AM298" s="559"/>
      <c r="AN298" s="100" t="s">
        <v>1315</v>
      </c>
      <c r="AO298" s="558"/>
      <c r="AP298" s="559"/>
      <c r="AQ298" s="100" t="s">
        <v>1315</v>
      </c>
    </row>
    <row r="299" spans="1:43" ht="14">
      <c r="A299" s="526"/>
      <c r="B299" s="526"/>
      <c r="C299" s="45"/>
      <c r="D299" s="45"/>
      <c r="E299" s="45"/>
      <c r="F299" s="46"/>
      <c r="G299" s="548"/>
      <c r="H299" s="45"/>
      <c r="I299" s="45"/>
      <c r="J299" s="45"/>
      <c r="K299" s="555"/>
      <c r="L299" s="522"/>
      <c r="M299" s="522"/>
      <c r="N299" s="522"/>
      <c r="P299" s="99" t="s">
        <v>2553</v>
      </c>
      <c r="Q299" s="98"/>
      <c r="R299" s="148"/>
      <c r="S299" s="556">
        <f>Q113+Q138+Q163+Q188+Q213</f>
        <v>2773771</v>
      </c>
      <c r="T299" s="98"/>
      <c r="U299" s="148"/>
      <c r="V299" s="556">
        <f>T88+U138+T163+T188+T213</f>
        <v>9311668</v>
      </c>
      <c r="W299" s="98"/>
      <c r="X299" s="148"/>
      <c r="Y299" s="556">
        <f>W88+W113+W163+W188+W213</f>
        <v>965597</v>
      </c>
      <c r="Z299" s="98"/>
      <c r="AA299" s="148"/>
      <c r="AB299" s="556">
        <f>Z88+Z113+AC138+Z188+Z213</f>
        <v>271295</v>
      </c>
      <c r="AC299" s="98"/>
      <c r="AD299" s="148"/>
      <c r="AE299" s="556">
        <f>AC88+AC113+AG138+AC163+AC213</f>
        <v>577457</v>
      </c>
      <c r="AF299" s="99"/>
      <c r="AG299" s="550"/>
      <c r="AH299" s="552">
        <f>AF88+AF113+AK138+AF163+AF188</f>
        <v>1263944</v>
      </c>
    </row>
    <row r="300" spans="1:43" ht="14">
      <c r="A300" s="526"/>
      <c r="B300" s="526"/>
      <c r="C300" s="45"/>
      <c r="D300" s="45"/>
      <c r="E300" s="45"/>
      <c r="F300" s="46"/>
      <c r="G300" s="548"/>
      <c r="H300" s="45"/>
      <c r="I300" s="45"/>
      <c r="J300" s="45"/>
      <c r="K300" s="555"/>
      <c r="L300" s="522"/>
      <c r="M300" s="522"/>
      <c r="N300" s="522"/>
      <c r="O300" s="25"/>
      <c r="P300" s="99" t="s">
        <v>2554</v>
      </c>
      <c r="Q300" s="98"/>
      <c r="R300" s="148"/>
      <c r="S300" s="556">
        <f>T88+W88+Z88+AC88+AF88</f>
        <v>2200726</v>
      </c>
      <c r="T300" s="98"/>
      <c r="U300" s="148"/>
      <c r="V300" s="556">
        <f>Q113+W113+Z113+AC113+AF113</f>
        <v>473192</v>
      </c>
      <c r="W300" s="98"/>
      <c r="X300" s="148"/>
      <c r="Y300" s="556">
        <f>Q138+U138+AC138+AG138+AK138</f>
        <v>4407112</v>
      </c>
      <c r="Z300" s="98"/>
      <c r="AA300" s="148"/>
      <c r="AB300" s="556">
        <f>Q163+T163+W163+AC163+AF163</f>
        <v>6388261</v>
      </c>
      <c r="AC300" s="98"/>
      <c r="AD300" s="148"/>
      <c r="AE300" s="556">
        <f>Q188+T188+W188+Z188+AF188</f>
        <v>147484</v>
      </c>
      <c r="AF300" s="99"/>
      <c r="AG300" s="550"/>
      <c r="AH300" s="552">
        <f>Q213+T213+W213+Z213+AC213</f>
        <v>1546957</v>
      </c>
    </row>
    <row r="301" spans="1:43" ht="14">
      <c r="A301" s="526"/>
      <c r="B301" s="526"/>
      <c r="C301" s="45"/>
      <c r="D301" s="45"/>
      <c r="E301" s="45"/>
      <c r="F301" s="46"/>
      <c r="G301" s="548"/>
      <c r="H301" s="45"/>
      <c r="I301" s="45"/>
      <c r="J301" s="45"/>
      <c r="M301" s="541"/>
      <c r="N301" s="522"/>
      <c r="V301" s="522"/>
    </row>
    <row r="302" spans="1:43" ht="14">
      <c r="A302" s="526"/>
      <c r="B302" s="526"/>
      <c r="C302" s="45"/>
      <c r="D302" s="45"/>
      <c r="E302" s="45"/>
      <c r="F302" s="46"/>
      <c r="G302" s="548"/>
      <c r="H302" s="45"/>
      <c r="I302" s="45"/>
      <c r="J302" s="45"/>
      <c r="M302" s="541"/>
      <c r="N302" s="522"/>
      <c r="R302" s="522"/>
      <c r="S302" s="522"/>
      <c r="T302" s="522"/>
      <c r="U302" s="638"/>
      <c r="V302" s="522"/>
      <c r="W302" s="522"/>
      <c r="X302" s="522"/>
      <c r="Y302" s="522"/>
      <c r="Z302" s="522"/>
      <c r="AA302" s="522"/>
      <c r="AB302" s="522"/>
      <c r="AC302" s="522"/>
      <c r="AD302" s="522"/>
      <c r="AE302" s="522"/>
      <c r="AF302" s="522"/>
      <c r="AG302" s="522"/>
      <c r="AH302" s="522"/>
    </row>
    <row r="303" spans="1:43" ht="14">
      <c r="A303" s="560"/>
      <c r="B303" s="560"/>
      <c r="C303" s="45"/>
      <c r="D303" s="45"/>
      <c r="E303" s="45"/>
      <c r="F303" s="46"/>
      <c r="G303" s="548"/>
      <c r="H303" s="45"/>
      <c r="I303" s="45"/>
      <c r="J303" s="45"/>
      <c r="M303" s="541"/>
      <c r="N303" s="522"/>
      <c r="Q303" s="103"/>
      <c r="U303" s="638"/>
      <c r="V303" s="522"/>
      <c r="Y303" s="425"/>
    </row>
    <row r="304" spans="1:43" ht="14">
      <c r="A304" s="560"/>
      <c r="B304" s="560"/>
      <c r="C304" s="45"/>
      <c r="D304" s="45"/>
      <c r="E304" s="45"/>
      <c r="F304" s="46"/>
      <c r="G304" s="548"/>
      <c r="H304" s="45"/>
      <c r="I304" s="45"/>
      <c r="J304" s="45"/>
      <c r="U304" s="638"/>
      <c r="V304" s="522"/>
    </row>
    <row r="305" spans="1:22" ht="14">
      <c r="A305" s="526"/>
      <c r="B305" s="526"/>
      <c r="C305" s="45"/>
      <c r="D305" s="45"/>
      <c r="E305" s="45"/>
      <c r="F305" s="46"/>
      <c r="G305" s="548"/>
      <c r="H305" s="45"/>
      <c r="I305" s="45"/>
      <c r="J305" s="45"/>
      <c r="U305" s="117"/>
    </row>
    <row r="306" spans="1:22" ht="14">
      <c r="A306" s="526"/>
      <c r="B306" s="526"/>
      <c r="C306" s="45"/>
      <c r="D306" s="45"/>
      <c r="E306" s="45"/>
      <c r="F306" s="46"/>
      <c r="G306" s="548"/>
      <c r="H306" s="45"/>
      <c r="I306" s="45"/>
      <c r="J306" s="45"/>
      <c r="K306" s="425"/>
      <c r="M306" s="425"/>
      <c r="N306" s="425"/>
      <c r="U306" s="117"/>
      <c r="V306" s="522"/>
    </row>
    <row r="307" spans="1:22" ht="14">
      <c r="A307" s="526"/>
      <c r="B307" s="526"/>
      <c r="C307" s="45"/>
      <c r="D307" s="45"/>
      <c r="E307" s="45"/>
      <c r="F307" s="46"/>
      <c r="G307" s="548"/>
      <c r="H307" s="45"/>
      <c r="I307" s="45"/>
      <c r="J307" s="45"/>
      <c r="M307" s="36"/>
      <c r="U307" s="117"/>
      <c r="V307" s="522"/>
    </row>
    <row r="308" spans="1:22" ht="14">
      <c r="A308" s="526"/>
      <c r="B308" s="526"/>
      <c r="C308" s="45"/>
      <c r="D308" s="45"/>
      <c r="E308" s="45"/>
      <c r="F308" s="561"/>
      <c r="G308" s="548"/>
      <c r="H308" s="45"/>
      <c r="I308" s="45"/>
      <c r="J308" s="45"/>
      <c r="K308" s="555"/>
      <c r="L308" s="522"/>
      <c r="M308" s="522"/>
      <c r="N308" s="535"/>
      <c r="U308" s="117"/>
      <c r="V308" s="522"/>
    </row>
    <row r="309" spans="1:22" ht="14">
      <c r="A309" s="526"/>
      <c r="B309" s="526"/>
      <c r="C309" s="45"/>
      <c r="D309" s="45"/>
      <c r="E309" s="45"/>
      <c r="F309" s="46"/>
      <c r="G309" s="548"/>
      <c r="H309" s="45"/>
      <c r="I309" s="45"/>
      <c r="J309" s="45"/>
      <c r="K309" s="555"/>
      <c r="L309" s="522"/>
      <c r="M309" s="522"/>
      <c r="N309" s="535"/>
      <c r="U309" s="117"/>
    </row>
    <row r="310" spans="1:22" ht="14">
      <c r="A310" s="526"/>
      <c r="B310" s="526"/>
      <c r="C310" s="45"/>
      <c r="D310" s="45"/>
      <c r="E310" s="45"/>
      <c r="F310" s="46"/>
      <c r="G310" s="548"/>
      <c r="H310" s="45"/>
      <c r="I310" s="45"/>
      <c r="J310" s="45"/>
      <c r="K310" s="555"/>
      <c r="L310" s="522"/>
      <c r="M310" s="522"/>
      <c r="N310" s="535"/>
      <c r="U310" s="639"/>
      <c r="V310" s="97"/>
    </row>
    <row r="311" spans="1:22">
      <c r="U311" s="117"/>
      <c r="V311" s="522"/>
    </row>
    <row r="312" spans="1:22">
      <c r="U312" s="117"/>
      <c r="V312" s="522"/>
    </row>
    <row r="313" spans="1:22">
      <c r="U313" s="117"/>
      <c r="V313" s="522"/>
    </row>
    <row r="314" spans="1:22">
      <c r="V314" s="522"/>
    </row>
    <row r="315" spans="1:22">
      <c r="U315" s="117"/>
      <c r="V315" s="522"/>
    </row>
    <row r="316" spans="1:22">
      <c r="V316" s="522"/>
    </row>
  </sheetData>
  <mergeCells count="212">
    <mergeCell ref="AO243:AO244"/>
    <mergeCell ref="Q242:AN242"/>
    <mergeCell ref="AI295:AK295"/>
    <mergeCell ref="AL295:AN295"/>
    <mergeCell ref="AO295:AQ295"/>
    <mergeCell ref="Q294:AQ294"/>
    <mergeCell ref="Q295:S295"/>
    <mergeCell ref="T295:V295"/>
    <mergeCell ref="W295:Y295"/>
    <mergeCell ref="Z295:AB295"/>
    <mergeCell ref="AC295:AE295"/>
    <mergeCell ref="AF295:AH295"/>
    <mergeCell ref="AC243:AF243"/>
    <mergeCell ref="AO269:AO270"/>
    <mergeCell ref="Q243:T243"/>
    <mergeCell ref="U243:X243"/>
    <mergeCell ref="AK243:AN243"/>
    <mergeCell ref="Q268:AN268"/>
    <mergeCell ref="Q269:T269"/>
    <mergeCell ref="U269:X269"/>
    <mergeCell ref="Y269:AB269"/>
    <mergeCell ref="AC269:AF269"/>
    <mergeCell ref="AG269:AJ269"/>
    <mergeCell ref="AK269:AN269"/>
    <mergeCell ref="P91:P93"/>
    <mergeCell ref="E167:E168"/>
    <mergeCell ref="F167:F168"/>
    <mergeCell ref="G167:G168"/>
    <mergeCell ref="C142:C143"/>
    <mergeCell ref="A166:M166"/>
    <mergeCell ref="D142:D143"/>
    <mergeCell ref="B167:B168"/>
    <mergeCell ref="E192:E193"/>
    <mergeCell ref="C92:C93"/>
    <mergeCell ref="D117:D118"/>
    <mergeCell ref="A142:A143"/>
    <mergeCell ref="E117:E118"/>
    <mergeCell ref="G117:G118"/>
    <mergeCell ref="G142:G143"/>
    <mergeCell ref="C167:C168"/>
    <mergeCell ref="D167:D168"/>
    <mergeCell ref="P116:P118"/>
    <mergeCell ref="P141:P143"/>
    <mergeCell ref="P166:P168"/>
    <mergeCell ref="H167:H168"/>
    <mergeCell ref="M167:M168"/>
    <mergeCell ref="L117:L118"/>
    <mergeCell ref="C117:C118"/>
    <mergeCell ref="A243:A244"/>
    <mergeCell ref="A67:A68"/>
    <mergeCell ref="A92:A93"/>
    <mergeCell ref="A117:A118"/>
    <mergeCell ref="A217:A218"/>
    <mergeCell ref="H192:H193"/>
    <mergeCell ref="B217:B218"/>
    <mergeCell ref="C217:C218"/>
    <mergeCell ref="D217:D218"/>
    <mergeCell ref="E217:E218"/>
    <mergeCell ref="F217:F218"/>
    <mergeCell ref="A191:M191"/>
    <mergeCell ref="A242:M242"/>
    <mergeCell ref="B117:B118"/>
    <mergeCell ref="E92:E93"/>
    <mergeCell ref="F92:F93"/>
    <mergeCell ref="J167:J168"/>
    <mergeCell ref="A167:A168"/>
    <mergeCell ref="A192:A193"/>
    <mergeCell ref="K92:K93"/>
    <mergeCell ref="M92:M93"/>
    <mergeCell ref="J142:J143"/>
    <mergeCell ref="G92:G93"/>
    <mergeCell ref="B142:B143"/>
    <mergeCell ref="AG243:AJ243"/>
    <mergeCell ref="K217:K218"/>
    <mergeCell ref="J217:J218"/>
    <mergeCell ref="L217:L218"/>
    <mergeCell ref="G243:G244"/>
    <mergeCell ref="L192:L193"/>
    <mergeCell ref="Q192:S192"/>
    <mergeCell ref="Z192:AB192"/>
    <mergeCell ref="T217:V217"/>
    <mergeCell ref="K192:K193"/>
    <mergeCell ref="P216:P218"/>
    <mergeCell ref="H217:H218"/>
    <mergeCell ref="P191:P193"/>
    <mergeCell ref="G217:G218"/>
    <mergeCell ref="I217:I218"/>
    <mergeCell ref="Y243:AB243"/>
    <mergeCell ref="G192:G193"/>
    <mergeCell ref="AC217:AE217"/>
    <mergeCell ref="AF217:AH217"/>
    <mergeCell ref="A141:M141"/>
    <mergeCell ref="M142:M143"/>
    <mergeCell ref="E142:E143"/>
    <mergeCell ref="F142:F143"/>
    <mergeCell ref="W217:Y217"/>
    <mergeCell ref="M192:M193"/>
    <mergeCell ref="J192:J193"/>
    <mergeCell ref="AF192:AH192"/>
    <mergeCell ref="AC192:AE192"/>
    <mergeCell ref="T192:V192"/>
    <mergeCell ref="W192:Y192"/>
    <mergeCell ref="Z217:AB217"/>
    <mergeCell ref="A216:M216"/>
    <mergeCell ref="I192:I193"/>
    <mergeCell ref="L142:L143"/>
    <mergeCell ref="H142:H143"/>
    <mergeCell ref="I167:I168"/>
    <mergeCell ref="K167:K168"/>
    <mergeCell ref="Q91:AH91"/>
    <mergeCell ref="Q92:S92"/>
    <mergeCell ref="T92:V92"/>
    <mergeCell ref="AC92:AE92"/>
    <mergeCell ref="W92:Y92"/>
    <mergeCell ref="Z92:AB92"/>
    <mergeCell ref="W167:Y167"/>
    <mergeCell ref="Q141:AH141"/>
    <mergeCell ref="Z142:AB142"/>
    <mergeCell ref="AF167:AH167"/>
    <mergeCell ref="T142:V142"/>
    <mergeCell ref="W142:Y142"/>
    <mergeCell ref="Q166:AH166"/>
    <mergeCell ref="AF92:AH92"/>
    <mergeCell ref="Q117:T117"/>
    <mergeCell ref="Y117:AB117"/>
    <mergeCell ref="AC117:AF117"/>
    <mergeCell ref="AG117:AJ117"/>
    <mergeCell ref="U117:X117"/>
    <mergeCell ref="T167:V167"/>
    <mergeCell ref="Q116:AN116"/>
    <mergeCell ref="AK117:AN117"/>
    <mergeCell ref="B34:K34"/>
    <mergeCell ref="Q66:AH66"/>
    <mergeCell ref="Q67:S67"/>
    <mergeCell ref="T67:V67"/>
    <mergeCell ref="W67:Y67"/>
    <mergeCell ref="Z67:AB67"/>
    <mergeCell ref="AC67:AE67"/>
    <mergeCell ref="G67:G68"/>
    <mergeCell ref="H67:H68"/>
    <mergeCell ref="I67:I68"/>
    <mergeCell ref="B67:B68"/>
    <mergeCell ref="AF67:AH67"/>
    <mergeCell ref="J67:J68"/>
    <mergeCell ref="A65:M65"/>
    <mergeCell ref="K67:K68"/>
    <mergeCell ref="L67:L68"/>
    <mergeCell ref="M67:M68"/>
    <mergeCell ref="A66:M66"/>
    <mergeCell ref="P65:AH65"/>
    <mergeCell ref="P66:P68"/>
    <mergeCell ref="D67:D68"/>
    <mergeCell ref="L92:L93"/>
    <mergeCell ref="L167:L168"/>
    <mergeCell ref="E67:E68"/>
    <mergeCell ref="F67:F68"/>
    <mergeCell ref="J117:J118"/>
    <mergeCell ref="B192:B193"/>
    <mergeCell ref="C192:C193"/>
    <mergeCell ref="C67:C68"/>
    <mergeCell ref="J92:J93"/>
    <mergeCell ref="D92:D93"/>
    <mergeCell ref="D192:D193"/>
    <mergeCell ref="I142:I143"/>
    <mergeCell ref="H92:H93"/>
    <mergeCell ref="I117:I118"/>
    <mergeCell ref="K117:K118"/>
    <mergeCell ref="F117:F118"/>
    <mergeCell ref="A91:M91"/>
    <mergeCell ref="A116:M116"/>
    <mergeCell ref="M117:M118"/>
    <mergeCell ref="I92:I93"/>
    <mergeCell ref="B92:B93"/>
    <mergeCell ref="K142:K143"/>
    <mergeCell ref="H117:H118"/>
    <mergeCell ref="F192:F193"/>
    <mergeCell ref="C243:C244"/>
    <mergeCell ref="B269:B270"/>
    <mergeCell ref="C269:C270"/>
    <mergeCell ref="D269:D270"/>
    <mergeCell ref="AC142:AE142"/>
    <mergeCell ref="Q142:S142"/>
    <mergeCell ref="AF142:AH142"/>
    <mergeCell ref="J243:J244"/>
    <mergeCell ref="K243:K244"/>
    <mergeCell ref="L243:L244"/>
    <mergeCell ref="Q167:S167"/>
    <mergeCell ref="Q216:AH216"/>
    <mergeCell ref="M243:M244"/>
    <mergeCell ref="Q191:AH191"/>
    <mergeCell ref="D243:D244"/>
    <mergeCell ref="H243:H244"/>
    <mergeCell ref="I243:I244"/>
    <mergeCell ref="F243:F244"/>
    <mergeCell ref="E243:E244"/>
    <mergeCell ref="B243:B244"/>
    <mergeCell ref="M217:M218"/>
    <mergeCell ref="Q217:S217"/>
    <mergeCell ref="Z167:AB167"/>
    <mergeCell ref="AC167:AE167"/>
    <mergeCell ref="P294:P295"/>
    <mergeCell ref="M269:M270"/>
    <mergeCell ref="H269:H270"/>
    <mergeCell ref="I269:I270"/>
    <mergeCell ref="A268:M268"/>
    <mergeCell ref="E269:E270"/>
    <mergeCell ref="F269:F270"/>
    <mergeCell ref="G269:G270"/>
    <mergeCell ref="J269:J270"/>
    <mergeCell ref="K269:K270"/>
    <mergeCell ref="L269:L270"/>
    <mergeCell ref="A269:A270"/>
  </mergeCells>
  <pageMargins left="0.7" right="0.7" top="0.75" bottom="0.75" header="0.3" footer="0.3"/>
  <pageSetup scale="49" orientation="landscape" r:id="rId1"/>
  <rowBreaks count="5" manualBreakCount="5">
    <brk id="64" max="16383" man="1"/>
    <brk id="115" max="16383" man="1"/>
    <brk id="165" max="16383" man="1"/>
    <brk id="215" max="16383" man="1"/>
    <brk id="267" max="16383" man="1"/>
  </rowBreaks>
  <colBreaks count="1" manualBreakCount="1">
    <brk id="36" max="1048575"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48B8951B32C44A8ABF1C6EE626DEA0" ma:contentTypeVersion="12" ma:contentTypeDescription="Create a new document." ma:contentTypeScope="" ma:versionID="00c34415f747eb1e73a243116889dce5">
  <xsd:schema xmlns:xsd="http://www.w3.org/2001/XMLSchema" xmlns:xs="http://www.w3.org/2001/XMLSchema" xmlns:p="http://schemas.microsoft.com/office/2006/metadata/properties" xmlns:ns2="97c241f7-0c18-4008-861b-5a676167a037" xmlns:ns3="7b83dbe2-6fd2-449a-a932-0d75829bf641" targetNamespace="http://schemas.microsoft.com/office/2006/metadata/properties" ma:root="true" ma:fieldsID="9b3f6caeeba7c387d8b603abbdbb318b" ns2:_="" ns3:_="">
    <xsd:import namespace="97c241f7-0c18-4008-861b-5a676167a037"/>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c241f7-0c18-4008-861b-5a676167a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7c241f7-0c18-4008-861b-5a676167a037">
      <Terms xmlns="http://schemas.microsoft.com/office/infopath/2007/PartnerControls"/>
    </lcf76f155ced4ddcb4097134ff3c332f>
    <TaxCatchAll xmlns="7b83dbe2-6fd2-449a-a932-0d75829bf641" xsi:nil="true"/>
  </documentManagement>
</p:properties>
</file>

<file path=customXml/itemProps1.xml><?xml version="1.0" encoding="utf-8"?>
<ds:datastoreItem xmlns:ds="http://schemas.openxmlformats.org/officeDocument/2006/customXml" ds:itemID="{C55FEC8C-2460-424A-AF2F-8FB5F85F0C55}">
  <ds:schemaRefs>
    <ds:schemaRef ds:uri="http://schemas.microsoft.com/sharepoint/v3/contenttype/forms"/>
  </ds:schemaRefs>
</ds:datastoreItem>
</file>

<file path=customXml/itemProps2.xml><?xml version="1.0" encoding="utf-8"?>
<ds:datastoreItem xmlns:ds="http://schemas.openxmlformats.org/officeDocument/2006/customXml" ds:itemID="{7E902B82-8BA9-435F-8828-C40E66750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c241f7-0c18-4008-861b-5a676167a037"/>
    <ds:schemaRef ds:uri="7b83dbe2-6fd2-449a-a932-0d75829bf6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590E0BC-B6BB-4E2C-8E8A-3B80750A153C}">
  <ds:schemaRefs>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purl.org/dc/dcmitype/"/>
    <ds:schemaRef ds:uri="http://schemas.microsoft.com/office/2006/metadata/properties"/>
    <ds:schemaRef ds:uri="7b83dbe2-6fd2-449a-a932-0d75829bf641"/>
    <ds:schemaRef ds:uri="97c241f7-0c18-4008-861b-5a676167a03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Imported Emissions</vt:lpstr>
      <vt:lpstr>State &amp; Province Summary</vt:lpstr>
      <vt:lpstr>Generation Load Imports</vt:lpstr>
      <vt:lpstr>Generation CO2e</vt:lpstr>
      <vt:lpstr>EIA Form 923</vt:lpstr>
      <vt:lpstr>EPA Part 75 &amp; GHGRP</vt:lpstr>
      <vt:lpstr>GIS CO2e</vt:lpstr>
      <vt:lpstr>GIS Heat Input</vt:lpstr>
      <vt:lpstr>GIS</vt:lpstr>
      <vt:lpstr>GWPs &amp; Fuel EFs</vt:lpstr>
      <vt:lpstr>MSBprcnt</vt:lpstr>
      <vt:lpstr>MSNprcnt</vt:lpstr>
      <vt:lpstr>'EIA Form 923'!Print_Titles</vt:lpstr>
      <vt:lpstr>'EPA Part 75 &amp; GHGRP'!Print_Titles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Richardson, Sue Ann (DEP)</dc:creator>
  <cp:lastModifiedBy>Richardson, Sue Ann (DEP)</cp:lastModifiedBy>
  <cp:lastPrinted>2019-12-03T19:52:32Z</cp:lastPrinted>
  <dcterms:created xsi:type="dcterms:W3CDTF">2010-01-22T15:38:48Z</dcterms:created>
  <dcterms:modified xsi:type="dcterms:W3CDTF">2023-06-13T17:13:21Z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-1354738597</vt:i4>
  </property>
  <property fmtid="{D5CDD505-2E9C-101B-9397-08002B2CF9AE}" pid="3" name="_NewReviewCycle">
    <vt:lpwstr/>
  </property>
  <property fmtid="{D5CDD505-2E9C-101B-9397-08002B2CF9AE}" pid="4" name="_EmailSubject">
    <vt:lpwstr>getting ready to post updated GHG Inventory</vt:lpwstr>
  </property>
  <property fmtid="{D5CDD505-2E9C-101B-9397-08002B2CF9AE}" pid="5" name="_AuthorEmail">
    <vt:lpwstr>Sharon.Weber@MassMail.State.MA.US</vt:lpwstr>
  </property>
  <property fmtid="{D5CDD505-2E9C-101B-9397-08002B2CF9AE}" pid="6" name="_AuthorEmailDisplayName">
    <vt:lpwstr>Weber, Sharon (DEP)</vt:lpwstr>
  </property>
  <property fmtid="{D5CDD505-2E9C-101B-9397-08002B2CF9AE}" pid="7" name="_PreviousAdHocReviewCycleID">
    <vt:i4>961112467</vt:i4>
  </property>
  <property fmtid="{D5CDD505-2E9C-101B-9397-08002B2CF9AE}" pid="8" name="_ReviewingToolsShownOnce">
    <vt:lpwstr/>
  </property>
  <property fmtid="{D5CDD505-2E9C-101B-9397-08002B2CF9AE}" pid="9" name="WorkbookGuid">
    <vt:lpwstr>d90edfcd-199e-4180-a526-533230d6161b</vt:lpwstr>
  </property>
  <property fmtid="{D5CDD505-2E9C-101B-9397-08002B2CF9AE}" pid="10" name="ContentTypeId">
    <vt:lpwstr>0x0101003F48B8951B32C44A8ABF1C6EE626DEA0</vt:lpwstr>
  </property>
  <property fmtid="{D5CDD505-2E9C-101B-9397-08002B2CF9AE}" pid="11" name="ComplianceAssetId">
    <vt:lpwstr/>
  </property>
  <property fmtid="{D5CDD505-2E9C-101B-9397-08002B2CF9AE}" pid="12" name="_ExtendedDescription">
    <vt:lpwstr/>
  </property>
  <property fmtid="{D5CDD505-2E9C-101B-9397-08002B2CF9AE}" pid="13" name="TriggerFlowInfo">
    <vt:lpwstr/>
  </property>
  <property fmtid="{D5CDD505-2E9C-101B-9397-08002B2CF9AE}" pid="14" name="MediaServiceImageTags">
    <vt:lpwstr/>
  </property>
</Properties>
</file>